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150" yWindow="0" windowWidth="6165" windowHeight="9045" activeTab="0"/>
  </bookViews>
  <sheets>
    <sheet name="Zadání" sheetId="1" r:id="rId1"/>
    <sheet name="Leasing" sheetId="2" r:id="rId2"/>
    <sheet name="Úvěr" sheetId="3" r:id="rId3"/>
    <sheet name="Expres splátky" sheetId="4" r:id="rId4"/>
    <sheet name="Žadost" sheetId="5" r:id="rId5"/>
  </sheets>
  <definedNames>
    <definedName name="_xlnm.Print_Area" localSheetId="3">'Expres splátky'!$B$1:$G$49</definedName>
    <definedName name="_xlnm.Print_Area" localSheetId="1">'Leasing'!$B$1:$H$44</definedName>
    <definedName name="_xlnm.Print_Area" localSheetId="2">'Úvěr'!$B$1:$I$44</definedName>
    <definedName name="_xlnm.Print_Area" localSheetId="0">'Zadání'!$A$1:$J$25</definedName>
    <definedName name="_xlnm.Print_Area" localSheetId="4">'Žadost'!$A$1:$AM$72</definedName>
  </definedNames>
  <calcPr fullCalcOnLoad="1"/>
</workbook>
</file>

<file path=xl/sharedStrings.xml><?xml version="1.0" encoding="utf-8"?>
<sst xmlns="http://schemas.openxmlformats.org/spreadsheetml/2006/main" count="237" uniqueCount="143">
  <si>
    <t>v %</t>
  </si>
  <si>
    <t>48 měsíčních splátek</t>
  </si>
  <si>
    <t>36 měsíčních splátek</t>
  </si>
  <si>
    <t>24 měsíčních splátek</t>
  </si>
  <si>
    <t xml:space="preserve">  Závaznou kalkulaci leasingu vč.pojištění a poplatku vypracujeme po předložení požadovaných podkladů pro schválení leasingu.</t>
  </si>
  <si>
    <t>DIČ:</t>
  </si>
  <si>
    <t>www:</t>
  </si>
  <si>
    <t>Mobil:</t>
  </si>
  <si>
    <t xml:space="preserve">      </t>
  </si>
  <si>
    <t xml:space="preserve">Adresa : </t>
  </si>
  <si>
    <t xml:space="preserve">IČ: </t>
  </si>
  <si>
    <t>Telefon:</t>
  </si>
  <si>
    <t xml:space="preserve">Fax: </t>
  </si>
  <si>
    <t>E-mail:</t>
  </si>
  <si>
    <t>Pořizovací cena bez DPH:</t>
  </si>
  <si>
    <t>Nový</t>
  </si>
  <si>
    <t>Použitý</t>
  </si>
  <si>
    <t xml:space="preserve">Termín dodání: </t>
  </si>
  <si>
    <t>Název dodavatele:</t>
  </si>
  <si>
    <t xml:space="preserve">Kontaktní osoba za dodavatele: </t>
  </si>
  <si>
    <t xml:space="preserve">Pojištění: </t>
  </si>
  <si>
    <t xml:space="preserve">P Ř E D M Ě T   </t>
  </si>
  <si>
    <t>1 - Praha</t>
  </si>
  <si>
    <t>2 - Rakovník</t>
  </si>
  <si>
    <t>úrok</t>
  </si>
  <si>
    <t>Typ kalkulace</t>
  </si>
  <si>
    <t>1 - Standard</t>
  </si>
  <si>
    <t>2 - VIP</t>
  </si>
  <si>
    <t>3 - TOP</t>
  </si>
  <si>
    <t>Pobočka CCI</t>
  </si>
  <si>
    <t>standard</t>
  </si>
  <si>
    <t>VIP</t>
  </si>
  <si>
    <t>TOP</t>
  </si>
  <si>
    <t>typ kalkulace</t>
  </si>
  <si>
    <t>platnost nabídka</t>
  </si>
  <si>
    <t>60 měsíčních splátek</t>
  </si>
  <si>
    <t xml:space="preserve">K A L K U L A C E                    </t>
  </si>
  <si>
    <t xml:space="preserve"> Cena předmětu bez DPH</t>
  </si>
  <si>
    <t>CCI</t>
  </si>
  <si>
    <t>adresa</t>
  </si>
  <si>
    <t>Pražská 2327, 269 01 Rakovník</t>
  </si>
  <si>
    <t>telefon</t>
  </si>
  <si>
    <t>tel.: 313 515 742</t>
  </si>
  <si>
    <t>fax</t>
  </si>
  <si>
    <t>fax: 313 516 160</t>
  </si>
  <si>
    <t>e-mail</t>
  </si>
  <si>
    <t>info@euroleasing.cz</t>
  </si>
  <si>
    <t xml:space="preserve"> Typ klienta</t>
  </si>
  <si>
    <t>odpočet DPH</t>
  </si>
  <si>
    <t>v Kč</t>
  </si>
  <si>
    <t>datum</t>
  </si>
  <si>
    <t xml:space="preserve"> Leasing</t>
  </si>
  <si>
    <t>3 - OZ</t>
  </si>
  <si>
    <t>vyřizuje</t>
  </si>
  <si>
    <t>Petr Novák</t>
  </si>
  <si>
    <t>Výsledek</t>
  </si>
  <si>
    <t>akontace</t>
  </si>
  <si>
    <t>Typ klienta</t>
  </si>
  <si>
    <t>Provize OZ</t>
  </si>
  <si>
    <t>Kontaktní údaje obchodního zástupce</t>
  </si>
  <si>
    <t>název obchodního zástupce</t>
  </si>
  <si>
    <t xml:space="preserve"> Sazba DPH</t>
  </si>
  <si>
    <t>Platba předem</t>
  </si>
  <si>
    <t xml:space="preserve"> Platba předem</t>
  </si>
  <si>
    <t xml:space="preserve"> Měsíční splátka</t>
  </si>
  <si>
    <t>Celkem</t>
  </si>
  <si>
    <t>DPH</t>
  </si>
  <si>
    <t>bez DPH</t>
  </si>
  <si>
    <t xml:space="preserve"> K A L K U L A C E</t>
  </si>
  <si>
    <t>Typ produktu</t>
  </si>
  <si>
    <t xml:space="preserve">       standard</t>
  </si>
  <si>
    <t xml:space="preserve">       rizikový</t>
  </si>
  <si>
    <t>Délka splácení</t>
  </si>
  <si>
    <t>platba předem</t>
  </si>
  <si>
    <t>cena vč. DPH</t>
  </si>
  <si>
    <t>splátky 3</t>
  </si>
  <si>
    <t>splátky 4</t>
  </si>
  <si>
    <t>splátky 5</t>
  </si>
  <si>
    <t>splátka</t>
  </si>
  <si>
    <t>Expres splátky</t>
  </si>
  <si>
    <t>leasing</t>
  </si>
  <si>
    <t>provize</t>
  </si>
  <si>
    <t>riziko</t>
  </si>
  <si>
    <t>úvěr</t>
  </si>
  <si>
    <t>Žádost  o poskytnutí financování</t>
  </si>
  <si>
    <t xml:space="preserve">                právnické osoby, fyzické osoby - podnikatelé</t>
  </si>
  <si>
    <t>Ž A D A T E L</t>
  </si>
  <si>
    <t xml:space="preserve">Název žadatele: </t>
  </si>
  <si>
    <t xml:space="preserve">Plátce DPH: </t>
  </si>
  <si>
    <t>Statutární zástupce:</t>
  </si>
  <si>
    <t>Č.bankovního účtu:</t>
  </si>
  <si>
    <t>Kód banky:</t>
  </si>
  <si>
    <t>Předmět financování:</t>
  </si>
  <si>
    <t xml:space="preserve">Adresa dodavatele: </t>
  </si>
  <si>
    <t>IČ dodavatele:</t>
  </si>
  <si>
    <t xml:space="preserve">Místo dodání: </t>
  </si>
  <si>
    <t>P O D M Í N K Y</t>
  </si>
  <si>
    <t>Doba  splácení (v měsících):</t>
  </si>
  <si>
    <t>Mim. splátka - platba předem v %:</t>
  </si>
  <si>
    <r>
      <t>Měsíční splátka</t>
    </r>
    <r>
      <rPr>
        <sz val="9"/>
        <rFont val="Arial CE"/>
        <family val="2"/>
      </rPr>
      <t xml:space="preserve"> </t>
    </r>
    <r>
      <rPr>
        <sz val="7"/>
        <rFont val="Arial CE"/>
        <family val="2"/>
      </rPr>
      <t>vč.DPH (bez poj.)</t>
    </r>
  </si>
  <si>
    <t xml:space="preserve">Produkt: </t>
  </si>
  <si>
    <t xml:space="preserve"> Úvěr</t>
  </si>
  <si>
    <t>Zahrnout do měsíčních splátek</t>
  </si>
  <si>
    <t>Žadatel zajistí individuálně</t>
  </si>
  <si>
    <t>Z Á V A Z K Y</t>
  </si>
  <si>
    <t xml:space="preserve">Počet uzavřených leas.smluv: </t>
  </si>
  <si>
    <r>
      <t xml:space="preserve">Součet poř.cen leas. smluv </t>
    </r>
    <r>
      <rPr>
        <sz val="7"/>
        <rFont val="Arial CE"/>
        <family val="2"/>
      </rPr>
      <t>bez DPH:</t>
    </r>
  </si>
  <si>
    <t>U těchto leas. společností:</t>
  </si>
  <si>
    <t xml:space="preserve">Výše poskytnutých úvěrů: </t>
  </si>
  <si>
    <t xml:space="preserve">   U těchto bank: </t>
  </si>
  <si>
    <t>O S T A T N Í    I N F O R M A C E</t>
  </si>
  <si>
    <t>Předmět podnikání žadatele:</t>
  </si>
  <si>
    <t xml:space="preserve">Důvod pořízení předmětu LS: </t>
  </si>
  <si>
    <t>Počet zaměstnanců:</t>
  </si>
  <si>
    <t>Umístění provozoven:</t>
  </si>
  <si>
    <t>Hlavní dodavatelé:</t>
  </si>
  <si>
    <t>Hlavní odběratelé:</t>
  </si>
  <si>
    <t>Podíly v jiných společnostech:</t>
  </si>
  <si>
    <t>Dosavadní činnosti žadatele:</t>
  </si>
  <si>
    <t>Poznámka:</t>
  </si>
  <si>
    <t>Místo a datum podpisu žádosti:</t>
  </si>
  <si>
    <t>Podpis žadatele:</t>
  </si>
  <si>
    <t>www.euroleasing.cz</t>
  </si>
  <si>
    <t>EXPRES SPLÁTKY</t>
  </si>
  <si>
    <t xml:space="preserve"> Prodejní cena bez DPH</t>
  </si>
  <si>
    <t xml:space="preserve"> Prodejní cena vč. DPH</t>
  </si>
  <si>
    <t>5 měsíčních splátek</t>
  </si>
  <si>
    <t>4 měsíčních splátek</t>
  </si>
  <si>
    <t>3 měsíčních splátek</t>
  </si>
  <si>
    <t xml:space="preserve">   Závaznou kalkulaci produktu EXPRES Splátky Vám vypracujeme po předložení požadovaných podkladů pro schválení financování.</t>
  </si>
  <si>
    <t xml:space="preserve">ÚVĚR </t>
  </si>
  <si>
    <t>LEASING</t>
  </si>
  <si>
    <t>s DPH</t>
  </si>
  <si>
    <t xml:space="preserve">    platba předem</t>
  </si>
  <si>
    <t>splátky úvěru</t>
  </si>
  <si>
    <t>leasingové splátky</t>
  </si>
  <si>
    <t>Expres</t>
  </si>
  <si>
    <t>splátky 6</t>
  </si>
  <si>
    <t>6 měsíčních splátek</t>
  </si>
  <si>
    <t xml:space="preserve">  Závaznou kalkulaci úvěru vč.pojištění a poplatku vypracujeme po předložení požadovaných podkladů pro schválení úvěru.</t>
  </si>
  <si>
    <t>Platnost od 1.1.2011</t>
  </si>
  <si>
    <t>EUROLEASING 1/2011</t>
  </si>
  <si>
    <t xml:space="preserve">Financování  movitých věcí od  50 tis. Kč bez DPH                  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</si>
</sst>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,##0.000"/>
    <numFmt numFmtId="170" formatCode="#,##0.0000"/>
    <numFmt numFmtId="171" formatCode="#,##0.00000"/>
    <numFmt numFmtId="172" formatCode="0.000000"/>
    <numFmt numFmtId="173" formatCode="d/m/yy"/>
    <numFmt numFmtId="174" formatCode="0.0%"/>
    <numFmt numFmtId="175" formatCode="0.0000000"/>
    <numFmt numFmtId="176" formatCode="0.000%"/>
    <numFmt numFmtId="177" formatCode="dd/mm/yy"/>
    <numFmt numFmtId="178" formatCode="#,##0.0\ &quot;Kč&quot;;[Red]\-#,##0.0\ &quot;Kč&quot;"/>
    <numFmt numFmtId="179" formatCode="d/m/yy\ h:mm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22"/>
      <name val="Arial CE"/>
      <family val="2"/>
    </font>
    <font>
      <sz val="9"/>
      <color indexed="10"/>
      <name val="Arial CE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Century"/>
      <family val="1"/>
    </font>
    <font>
      <sz val="8"/>
      <name val="Arial Baltic"/>
      <family val="2"/>
    </font>
    <font>
      <b/>
      <sz val="8"/>
      <name val="Arial Baltic"/>
      <family val="2"/>
    </font>
    <font>
      <sz val="9"/>
      <name val="Arial Baltic"/>
      <family val="2"/>
    </font>
    <font>
      <sz val="7"/>
      <name val="Arial Narrow"/>
      <family val="2"/>
    </font>
    <font>
      <sz val="10"/>
      <name val="Arial Narrow"/>
      <family val="2"/>
    </font>
    <font>
      <b/>
      <sz val="20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ntique Olive Compact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entury Gothic"/>
      <family val="2"/>
    </font>
    <font>
      <b/>
      <sz val="8"/>
      <color indexed="10"/>
      <name val="Century Gothic"/>
      <family val="2"/>
    </font>
    <font>
      <b/>
      <sz val="11"/>
      <color indexed="9"/>
      <name val="Arial CE"/>
      <family val="2"/>
    </font>
    <font>
      <sz val="7.5"/>
      <name val="Arial CE"/>
      <family val="2"/>
    </font>
    <font>
      <b/>
      <sz val="9"/>
      <color indexed="10"/>
      <name val="Arial CE"/>
      <family val="2"/>
    </font>
    <font>
      <sz val="8"/>
      <color indexed="9"/>
      <name val="Century Gothic"/>
      <family val="2"/>
    </font>
    <font>
      <b/>
      <sz val="10"/>
      <color indexed="10"/>
      <name val="Arial CE"/>
      <family val="2"/>
    </font>
    <font>
      <b/>
      <i/>
      <sz val="11"/>
      <color indexed="9"/>
      <name val="Century Gothic"/>
      <family val="2"/>
    </font>
    <font>
      <b/>
      <sz val="10"/>
      <color indexed="9"/>
      <name val="Arial CE"/>
      <family val="2"/>
    </font>
    <font>
      <b/>
      <sz val="8"/>
      <name val="Arial Greek"/>
      <family val="2"/>
    </font>
    <font>
      <sz val="9"/>
      <color indexed="9"/>
      <name val="Arial CE"/>
      <family val="0"/>
    </font>
    <font>
      <b/>
      <sz val="9"/>
      <name val="Arial Baltic"/>
      <family val="2"/>
    </font>
    <font>
      <u val="single"/>
      <sz val="9"/>
      <color indexed="12"/>
      <name val="Arial CE"/>
      <family val="2"/>
    </font>
    <font>
      <b/>
      <sz val="40"/>
      <color indexed="9"/>
      <name val="Century Gothic"/>
      <family val="2"/>
    </font>
    <font>
      <b/>
      <sz val="9"/>
      <color indexed="9"/>
      <name val="Arial CE"/>
      <family val="2"/>
    </font>
    <font>
      <sz val="8"/>
      <name val="Tahoma"/>
      <family val="2"/>
    </font>
    <font>
      <sz val="8"/>
      <color indexed="9"/>
      <name val="Arial CE"/>
      <family val="2"/>
    </font>
    <font>
      <b/>
      <sz val="22"/>
      <color indexed="21"/>
      <name val="Antique Olive Compact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 CE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45"/>
      <name val="Arial"/>
      <family val="2"/>
    </font>
    <font>
      <sz val="45"/>
      <name val="Arial"/>
      <family val="2"/>
    </font>
    <font>
      <b/>
      <sz val="36"/>
      <name val="Arial"/>
      <family val="2"/>
    </font>
    <font>
      <sz val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7" fillId="2" borderId="0" xfId="20" applyNumberFormat="1" applyFont="1" applyFill="1" applyAlignment="1">
      <alignment horizontal="right"/>
      <protection/>
    </xf>
    <xf numFmtId="0" fontId="21" fillId="2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9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72" fontId="2" fillId="3" borderId="0" xfId="0" applyNumberFormat="1" applyFont="1" applyFill="1" applyAlignment="1" applyProtection="1">
      <alignment horizontal="center"/>
      <protection hidden="1"/>
    </xf>
    <xf numFmtId="172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 applyProtection="1">
      <alignment/>
      <protection hidden="1"/>
    </xf>
    <xf numFmtId="0" fontId="25" fillId="5" borderId="0" xfId="0" applyFont="1" applyFill="1" applyAlignment="1" applyProtection="1">
      <alignment/>
      <protection hidden="1"/>
    </xf>
    <xf numFmtId="0" fontId="26" fillId="5" borderId="0" xfId="0" applyFont="1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30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32" fillId="4" borderId="0" xfId="0" applyFont="1" applyFill="1" applyAlignment="1" applyProtection="1">
      <alignment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1" fillId="5" borderId="10" xfId="0" applyFont="1" applyFill="1" applyBorder="1" applyAlignment="1">
      <alignment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9" fontId="2" fillId="2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5" fillId="3" borderId="0" xfId="0" applyFont="1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6" fillId="3" borderId="0" xfId="0" applyFont="1" applyFill="1" applyAlignment="1" applyProtection="1">
      <alignment vertical="center"/>
      <protection hidden="1"/>
    </xf>
    <xf numFmtId="0" fontId="36" fillId="2" borderId="0" xfId="0" applyFont="1" applyFill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" fillId="2" borderId="0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3" fontId="3" fillId="6" borderId="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174" fontId="2" fillId="5" borderId="3" xfId="21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>
      <alignment/>
    </xf>
    <xf numFmtId="0" fontId="0" fillId="5" borderId="3" xfId="0" applyFill="1" applyBorder="1" applyAlignment="1">
      <alignment/>
    </xf>
    <xf numFmtId="0" fontId="3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5" fillId="5" borderId="0" xfId="0" applyFont="1" applyFill="1" applyBorder="1" applyAlignment="1" applyProtection="1">
      <alignment vertical="center"/>
      <protection locked="0"/>
    </xf>
    <xf numFmtId="0" fontId="27" fillId="5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36" fillId="2" borderId="0" xfId="0" applyNumberFormat="1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Alignment="1" applyProtection="1">
      <alignment vertical="center"/>
      <protection hidden="1"/>
    </xf>
    <xf numFmtId="0" fontId="28" fillId="5" borderId="0" xfId="0" applyFont="1" applyFill="1" applyBorder="1" applyAlignment="1" applyProtection="1">
      <alignment/>
      <protection hidden="1"/>
    </xf>
    <xf numFmtId="0" fontId="39" fillId="4" borderId="3" xfId="0" applyFont="1" applyFill="1" applyBorder="1" applyAlignment="1" applyProtection="1">
      <alignment vertical="center"/>
      <protection hidden="1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25" fillId="8" borderId="0" xfId="0" applyFont="1" applyFill="1" applyAlignment="1" applyProtection="1">
      <alignment/>
      <protection hidden="1"/>
    </xf>
    <xf numFmtId="0" fontId="4" fillId="2" borderId="13" xfId="0" applyFont="1" applyFill="1" applyBorder="1" applyAlignment="1" applyProtection="1">
      <alignment/>
      <protection hidden="1"/>
    </xf>
    <xf numFmtId="3" fontId="2" fillId="2" borderId="3" xfId="0" applyNumberFormat="1" applyFont="1" applyFill="1" applyBorder="1" applyAlignment="1" applyProtection="1">
      <alignment horizontal="center"/>
      <protection hidden="1"/>
    </xf>
    <xf numFmtId="3" fontId="4" fillId="2" borderId="3" xfId="0" applyNumberFormat="1" applyFont="1" applyFill="1" applyBorder="1" applyAlignment="1" applyProtection="1">
      <alignment horizontal="center"/>
      <protection hidden="1"/>
    </xf>
    <xf numFmtId="9" fontId="29" fillId="0" borderId="3" xfId="0" applyNumberFormat="1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/>
      <protection hidden="1"/>
    </xf>
    <xf numFmtId="3" fontId="10" fillId="2" borderId="17" xfId="0" applyNumberFormat="1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/>
      <protection hidden="1"/>
    </xf>
    <xf numFmtId="3" fontId="4" fillId="2" borderId="20" xfId="0" applyNumberFormat="1" applyFont="1" applyFill="1" applyBorder="1" applyAlignment="1" applyProtection="1">
      <alignment horizontal="center"/>
      <protection hidden="1"/>
    </xf>
    <xf numFmtId="3" fontId="2" fillId="2" borderId="20" xfId="0" applyNumberFormat="1" applyFont="1" applyFill="1" applyBorder="1" applyAlignment="1" applyProtection="1">
      <alignment horizontal="center"/>
      <protection hidden="1"/>
    </xf>
    <xf numFmtId="3" fontId="10" fillId="2" borderId="21" xfId="0" applyNumberFormat="1" applyFont="1" applyFill="1" applyBorder="1" applyAlignment="1" applyProtection="1">
      <alignment horizontal="center"/>
      <protection hidden="1"/>
    </xf>
    <xf numFmtId="0" fontId="32" fillId="5" borderId="0" xfId="0" applyFont="1" applyFill="1" applyAlignment="1" applyProtection="1">
      <alignment/>
      <protection hidden="1"/>
    </xf>
    <xf numFmtId="0" fontId="41" fillId="4" borderId="11" xfId="0" applyFont="1" applyFill="1" applyBorder="1" applyAlignment="1" applyProtection="1">
      <alignment horizontal="center" vertical="center"/>
      <protection hidden="1"/>
    </xf>
    <xf numFmtId="3" fontId="41" fillId="4" borderId="13" xfId="0" applyNumberFormat="1" applyFont="1" applyFill="1" applyBorder="1" applyAlignment="1" applyProtection="1">
      <alignment horizontal="left" vertical="center"/>
      <protection hidden="1"/>
    </xf>
    <xf numFmtId="0" fontId="42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>
      <alignment/>
    </xf>
    <xf numFmtId="0" fontId="3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45" fillId="2" borderId="0" xfId="0" applyFont="1" applyFill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/>
      <protection hidden="1"/>
    </xf>
    <xf numFmtId="0" fontId="48" fillId="2" borderId="23" xfId="0" applyFont="1" applyFill="1" applyBorder="1" applyAlignment="1" applyProtection="1">
      <alignment horizontal="left" vertical="center"/>
      <protection hidden="1"/>
    </xf>
    <xf numFmtId="0" fontId="48" fillId="2" borderId="2" xfId="0" applyFont="1" applyFill="1" applyBorder="1" applyAlignment="1">
      <alignment horizontal="left" vertical="center"/>
    </xf>
    <xf numFmtId="3" fontId="48" fillId="2" borderId="24" xfId="0" applyNumberFormat="1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Border="1" applyAlignment="1" applyProtection="1">
      <alignment/>
      <protection locked="0"/>
    </xf>
    <xf numFmtId="0" fontId="47" fillId="2" borderId="25" xfId="0" applyFont="1" applyFill="1" applyBorder="1" applyAlignment="1" applyProtection="1">
      <alignment horizontal="left" vertical="center"/>
      <protection hidden="1"/>
    </xf>
    <xf numFmtId="0" fontId="47" fillId="2" borderId="26" xfId="0" applyFont="1" applyFill="1" applyBorder="1" applyAlignment="1">
      <alignment/>
    </xf>
    <xf numFmtId="3" fontId="47" fillId="2" borderId="27" xfId="0" applyNumberFormat="1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3" fontId="49" fillId="2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center" vertical="center"/>
      <protection hidden="1"/>
    </xf>
    <xf numFmtId="0" fontId="48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47" fillId="2" borderId="3" xfId="0" applyNumberFormat="1" applyFont="1" applyFill="1" applyBorder="1" applyAlignment="1" applyProtection="1">
      <alignment horizontal="center" vertical="center"/>
      <protection hidden="1"/>
    </xf>
    <xf numFmtId="0" fontId="47" fillId="2" borderId="0" xfId="0" applyNumberFormat="1" applyFont="1" applyFill="1" applyBorder="1" applyAlignment="1" applyProtection="1">
      <alignment horizontal="center" vertical="center"/>
      <protection hidden="1"/>
    </xf>
    <xf numFmtId="0" fontId="47" fillId="2" borderId="0" xfId="0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9" fontId="2" fillId="2" borderId="0" xfId="0" applyNumberFormat="1" applyFont="1" applyFill="1" applyBorder="1" applyAlignment="1" applyProtection="1">
      <alignment horizontal="center"/>
      <protection hidden="1"/>
    </xf>
    <xf numFmtId="172" fontId="2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172" fontId="4" fillId="2" borderId="0" xfId="0" applyNumberFormat="1" applyFont="1" applyFill="1" applyBorder="1" applyAlignment="1" applyProtection="1">
      <alignment horizontal="center"/>
      <protection hidden="1"/>
    </xf>
    <xf numFmtId="3" fontId="50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/>
      <protection locked="0"/>
    </xf>
    <xf numFmtId="0" fontId="0" fillId="5" borderId="13" xfId="0" applyFill="1" applyBorder="1" applyAlignment="1">
      <alignment/>
    </xf>
    <xf numFmtId="0" fontId="51" fillId="2" borderId="0" xfId="0" applyFont="1" applyFill="1" applyAlignment="1" applyProtection="1">
      <alignment/>
      <protection hidden="1"/>
    </xf>
    <xf numFmtId="9" fontId="47" fillId="2" borderId="28" xfId="0" applyNumberFormat="1" applyFont="1" applyFill="1" applyBorder="1" applyAlignment="1" applyProtection="1">
      <alignment horizontal="center" vertical="center"/>
      <protection hidden="1"/>
    </xf>
    <xf numFmtId="3" fontId="47" fillId="2" borderId="29" xfId="0" applyNumberFormat="1" applyFont="1" applyFill="1" applyBorder="1" applyAlignment="1" applyProtection="1">
      <alignment horizontal="center" vertical="center"/>
      <protection hidden="1"/>
    </xf>
    <xf numFmtId="3" fontId="47" fillId="2" borderId="30" xfId="0" applyNumberFormat="1" applyFont="1" applyFill="1" applyBorder="1" applyAlignment="1" applyProtection="1">
      <alignment horizontal="center" vertical="center"/>
      <protection hidden="1"/>
    </xf>
    <xf numFmtId="9" fontId="47" fillId="0" borderId="31" xfId="0" applyNumberFormat="1" applyFont="1" applyBorder="1" applyAlignment="1">
      <alignment horizontal="center" vertical="center"/>
    </xf>
    <xf numFmtId="3" fontId="47" fillId="2" borderId="32" xfId="0" applyNumberFormat="1" applyFont="1" applyFill="1" applyBorder="1" applyAlignment="1" applyProtection="1">
      <alignment horizontal="center" vertical="center"/>
      <protection hidden="1"/>
    </xf>
    <xf numFmtId="9" fontId="47" fillId="0" borderId="33" xfId="0" applyNumberFormat="1" applyFont="1" applyBorder="1" applyAlignment="1">
      <alignment horizontal="center" vertical="center"/>
    </xf>
    <xf numFmtId="3" fontId="47" fillId="2" borderId="34" xfId="0" applyNumberFormat="1" applyFont="1" applyFill="1" applyBorder="1" applyAlignment="1" applyProtection="1">
      <alignment horizontal="center" vertical="center"/>
      <protection hidden="1"/>
    </xf>
    <xf numFmtId="0" fontId="45" fillId="3" borderId="0" xfId="0" applyFont="1" applyFill="1" applyAlignment="1" applyProtection="1">
      <alignment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2" borderId="0" xfId="0" applyFont="1" applyFill="1" applyBorder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52" fillId="2" borderId="0" xfId="0" applyFont="1" applyFill="1" applyAlignment="1" applyProtection="1">
      <alignment/>
      <protection hidden="1"/>
    </xf>
    <xf numFmtId="0" fontId="45" fillId="2" borderId="1" xfId="0" applyFont="1" applyFill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8" fillId="2" borderId="2" xfId="0" applyFont="1" applyFill="1" applyBorder="1" applyAlignment="1" applyProtection="1">
      <alignment horizontal="left" vertical="center"/>
      <protection hidden="1"/>
    </xf>
    <xf numFmtId="0" fontId="47" fillId="2" borderId="26" xfId="0" applyFont="1" applyFill="1" applyBorder="1" applyAlignment="1" applyProtection="1">
      <alignment horizontal="left" vertical="center"/>
      <protection hidden="1"/>
    </xf>
    <xf numFmtId="3" fontId="2" fillId="2" borderId="29" xfId="0" applyNumberFormat="1" applyFont="1" applyFill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 applyProtection="1">
      <alignment horizontal="center" vertical="center"/>
      <protection hidden="1"/>
    </xf>
    <xf numFmtId="3" fontId="2" fillId="2" borderId="30" xfId="0" applyNumberFormat="1" applyFont="1" applyFill="1" applyBorder="1" applyAlignment="1" applyProtection="1">
      <alignment horizontal="center" vertical="center"/>
      <protection hidden="1"/>
    </xf>
    <xf numFmtId="3" fontId="2" fillId="2" borderId="32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Border="1" applyAlignment="1" applyProtection="1">
      <alignment horizontal="center" vertical="center"/>
      <protection hidden="1"/>
    </xf>
    <xf numFmtId="3" fontId="2" fillId="2" borderId="35" xfId="0" applyNumberFormat="1" applyFont="1" applyFill="1" applyBorder="1" applyAlignment="1" applyProtection="1">
      <alignment horizontal="center" vertical="center"/>
      <protection hidden="1"/>
    </xf>
    <xf numFmtId="3" fontId="2" fillId="2" borderId="34" xfId="0" applyNumberFormat="1" applyFont="1" applyFill="1" applyBorder="1" applyAlignment="1" applyProtection="1">
      <alignment horizontal="center" vertical="center"/>
      <protection hidden="1"/>
    </xf>
    <xf numFmtId="3" fontId="2" fillId="0" borderId="34" xfId="0" applyNumberFormat="1" applyFont="1" applyBorder="1" applyAlignment="1" applyProtection="1">
      <alignment horizontal="center" vertical="center"/>
      <protection hidden="1"/>
    </xf>
    <xf numFmtId="3" fontId="2" fillId="2" borderId="36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3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hidden="1"/>
    </xf>
    <xf numFmtId="3" fontId="2" fillId="2" borderId="27" xfId="0" applyNumberFormat="1" applyFont="1" applyFill="1" applyBorder="1" applyAlignment="1" applyProtection="1">
      <alignment horizontal="center" vertical="center"/>
      <protection hidden="1"/>
    </xf>
    <xf numFmtId="8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9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9" fontId="2" fillId="2" borderId="31" xfId="0" applyNumberFormat="1" applyFont="1" applyFill="1" applyBorder="1" applyAlignment="1" applyProtection="1">
      <alignment horizontal="center" vertical="center"/>
      <protection hidden="1"/>
    </xf>
    <xf numFmtId="9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 vertical="center"/>
      <protection hidden="1"/>
    </xf>
    <xf numFmtId="0" fontId="47" fillId="2" borderId="0" xfId="0" applyFont="1" applyFill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/>
      <protection locked="0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34" fillId="2" borderId="37" xfId="0" applyFont="1" applyFill="1" applyBorder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48" fillId="2" borderId="24" xfId="0" applyNumberFormat="1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2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4" fillId="2" borderId="8" xfId="0" applyFont="1" applyFill="1" applyBorder="1" applyAlignment="1" applyProtection="1">
      <alignment horizontal="center" vertical="center"/>
      <protection hidden="1"/>
    </xf>
    <xf numFmtId="3" fontId="12" fillId="2" borderId="29" xfId="0" applyNumberFormat="1" applyFont="1" applyFill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Border="1" applyAlignment="1">
      <alignment horizontal="center" vertical="center"/>
    </xf>
    <xf numFmtId="3" fontId="12" fillId="2" borderId="34" xfId="0" applyNumberFormat="1" applyFont="1" applyFill="1" applyBorder="1" applyAlignment="1" applyProtection="1">
      <alignment horizontal="center" vertical="center"/>
      <protection hidden="1"/>
    </xf>
    <xf numFmtId="3" fontId="2" fillId="0" borderId="34" xfId="0" applyNumberFormat="1" applyFont="1" applyBorder="1" applyAlignment="1">
      <alignment horizontal="center" vertical="center"/>
    </xf>
    <xf numFmtId="0" fontId="36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74" fontId="2" fillId="2" borderId="0" xfId="21" applyNumberFormat="1" applyFont="1" applyFill="1" applyBorder="1" applyAlignment="1" applyProtection="1">
      <alignment horizontal="center"/>
      <protection locked="0"/>
    </xf>
    <xf numFmtId="0" fontId="4" fillId="2" borderId="38" xfId="21" applyNumberFormat="1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174" fontId="4" fillId="2" borderId="0" xfId="2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10" fontId="2" fillId="2" borderId="0" xfId="21" applyNumberFormat="1" applyFont="1" applyFill="1" applyAlignment="1" applyProtection="1">
      <alignment horizontal="center"/>
      <protection locked="0"/>
    </xf>
    <xf numFmtId="174" fontId="2" fillId="2" borderId="0" xfId="21" applyNumberFormat="1" applyFont="1" applyFill="1" applyAlignment="1" applyProtection="1">
      <alignment horizontal="center"/>
      <protection locked="0"/>
    </xf>
    <xf numFmtId="174" fontId="4" fillId="2" borderId="38" xfId="21" applyNumberFormat="1" applyFont="1" applyFill="1" applyBorder="1" applyAlignment="1" applyProtection="1">
      <alignment horizontal="center"/>
      <protection locked="0"/>
    </xf>
    <xf numFmtId="0" fontId="2" fillId="2" borderId="0" xfId="21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3" fontId="29" fillId="5" borderId="0" xfId="0" applyNumberFormat="1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>
      <alignment horizontal="left" vertical="center"/>
      <protection hidden="1"/>
    </xf>
    <xf numFmtId="0" fontId="47" fillId="2" borderId="0" xfId="0" applyFont="1" applyFill="1" applyBorder="1" applyAlignment="1">
      <alignment/>
    </xf>
    <xf numFmtId="3" fontId="47" fillId="2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vertical="center"/>
    </xf>
    <xf numFmtId="0" fontId="34" fillId="2" borderId="23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179" fontId="51" fillId="2" borderId="4" xfId="0" applyNumberFormat="1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3" fillId="2" borderId="0" xfId="0" applyFont="1" applyFill="1" applyAlignment="1" applyProtection="1">
      <alignment horizontal="center"/>
      <protection hidden="1"/>
    </xf>
    <xf numFmtId="0" fontId="54" fillId="0" borderId="0" xfId="0" applyFont="1" applyAlignment="1">
      <alignment horizontal="center"/>
    </xf>
    <xf numFmtId="0" fontId="43" fillId="5" borderId="2" xfId="17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1" fillId="2" borderId="39" xfId="0" applyFont="1" applyFill="1" applyBorder="1" applyAlignment="1" applyProtection="1">
      <alignment/>
      <protection hidden="1"/>
    </xf>
    <xf numFmtId="0" fontId="31" fillId="2" borderId="40" xfId="0" applyFont="1" applyFill="1" applyBorder="1" applyAlignment="1" applyProtection="1">
      <alignment/>
      <protection hidden="1"/>
    </xf>
    <xf numFmtId="0" fontId="39" fillId="7" borderId="11" xfId="0" applyFont="1" applyFill="1" applyBorder="1" applyAlignment="1" applyProtection="1">
      <alignment vertical="center"/>
      <protection locked="0"/>
    </xf>
    <xf numFmtId="0" fontId="0" fillId="7" borderId="41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39" fillId="4" borderId="11" xfId="0" applyFont="1" applyFill="1" applyBorder="1" applyAlignment="1" applyProtection="1">
      <alignment vertical="center"/>
      <protection locked="0"/>
    </xf>
    <xf numFmtId="0" fontId="39" fillId="4" borderId="13" xfId="0" applyFont="1" applyFill="1" applyBorder="1" applyAlignment="1" applyProtection="1">
      <alignment vertical="center"/>
      <protection locked="0"/>
    </xf>
    <xf numFmtId="0" fontId="39" fillId="4" borderId="3" xfId="0" applyFont="1" applyFill="1" applyBorder="1" applyAlignment="1" applyProtection="1">
      <alignment vertical="center"/>
      <protection locked="0"/>
    </xf>
    <xf numFmtId="0" fontId="39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/>
    </xf>
    <xf numFmtId="9" fontId="5" fillId="2" borderId="11" xfId="21" applyFont="1" applyFill="1" applyBorder="1" applyAlignment="1" applyProtection="1">
      <alignment horizontal="center" vertical="center"/>
      <protection locked="0"/>
    </xf>
    <xf numFmtId="9" fontId="0" fillId="2" borderId="13" xfId="2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7" borderId="3" xfId="17" applyFont="1" applyFill="1" applyBorder="1" applyAlignment="1" applyProtection="1">
      <alignment/>
      <protection locked="0"/>
    </xf>
    <xf numFmtId="0" fontId="3" fillId="7" borderId="3" xfId="0" applyFont="1" applyFill="1" applyBorder="1" applyAlignment="1" applyProtection="1">
      <alignment/>
      <protection locked="0"/>
    </xf>
    <xf numFmtId="3" fontId="3" fillId="7" borderId="11" xfId="0" applyNumberFormat="1" applyFont="1" applyFill="1" applyBorder="1" applyAlignment="1" applyProtection="1">
      <alignment horizontal="left"/>
      <protection locked="0"/>
    </xf>
    <xf numFmtId="0" fontId="3" fillId="7" borderId="13" xfId="0" applyFont="1" applyFill="1" applyBorder="1" applyAlignment="1" applyProtection="1">
      <alignment horizontal="left"/>
      <protection locked="0"/>
    </xf>
    <xf numFmtId="0" fontId="37" fillId="7" borderId="3" xfId="17" applyFont="1" applyFill="1" applyBorder="1" applyAlignment="1" applyProtection="1">
      <alignment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2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8" fillId="2" borderId="23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left" vertical="center"/>
    </xf>
    <xf numFmtId="0" fontId="47" fillId="2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>
      <alignment horizontal="left" vertical="center"/>
    </xf>
    <xf numFmtId="0" fontId="34" fillId="2" borderId="1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3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8" fillId="2" borderId="3" xfId="0" applyFont="1" applyFill="1" applyBorder="1" applyAlignment="1" applyProtection="1">
      <alignment horizontal="center" vertical="center"/>
      <protection hidden="1"/>
    </xf>
    <xf numFmtId="0" fontId="47" fillId="0" borderId="3" xfId="0" applyFont="1" applyBorder="1" applyAlignment="1">
      <alignment horizontal="center" vertical="center"/>
    </xf>
    <xf numFmtId="179" fontId="51" fillId="0" borderId="4" xfId="0" applyNumberFormat="1" applyFont="1" applyBorder="1" applyAlignment="1">
      <alignment/>
    </xf>
    <xf numFmtId="0" fontId="48" fillId="2" borderId="11" xfId="0" applyFont="1" applyFill="1" applyBorder="1" applyAlignment="1" applyProtection="1">
      <alignment horizontal="center" vertical="center"/>
      <protection hidden="1"/>
    </xf>
    <xf numFmtId="0" fontId="47" fillId="0" borderId="13" xfId="0" applyFont="1" applyBorder="1" applyAlignment="1">
      <alignment horizontal="center" vertical="center"/>
    </xf>
    <xf numFmtId="0" fontId="55" fillId="2" borderId="0" xfId="0" applyFont="1" applyFill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0" xfId="2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19" fillId="3" borderId="42" xfId="0" applyFont="1" applyFill="1" applyBorder="1" applyAlignment="1">
      <alignment horizontal="center" vertical="center" textRotation="90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9" fillId="3" borderId="22" xfId="0" applyFont="1" applyFill="1" applyBorder="1" applyAlignment="1">
      <alignment horizontal="center" vertical="center" textRotation="90" wrapText="1"/>
    </xf>
    <xf numFmtId="0" fontId="19" fillId="3" borderId="6" xfId="0" applyFont="1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5" fillId="2" borderId="11" xfId="0" applyFont="1" applyFill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0" fontId="1" fillId="0" borderId="41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7" fillId="2" borderId="11" xfId="17" applyFont="1" applyFill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3" fillId="0" borderId="4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left"/>
      <protection locked="0"/>
    </xf>
    <xf numFmtId="0" fontId="1" fillId="2" borderId="41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3" fontId="3" fillId="2" borderId="11" xfId="0" applyNumberFormat="1" applyFont="1" applyFill="1" applyBorder="1" applyAlignment="1" applyProtection="1">
      <alignment horizontal="left"/>
      <protection locked="0"/>
    </xf>
    <xf numFmtId="3" fontId="0" fillId="2" borderId="41" xfId="0" applyNumberFormat="1" applyFill="1" applyBorder="1" applyAlignment="1" applyProtection="1">
      <alignment horizontal="left"/>
      <protection locked="0"/>
    </xf>
    <xf numFmtId="3" fontId="0" fillId="2" borderId="13" xfId="0" applyNumberForma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14" fontId="3" fillId="2" borderId="11" xfId="0" applyNumberFormat="1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1" fillId="2" borderId="41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0" fillId="0" borderId="41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/>
      <protection locked="0"/>
    </xf>
    <xf numFmtId="0" fontId="1" fillId="3" borderId="42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3" borderId="22" xfId="0" applyFont="1" applyFill="1" applyBorder="1" applyAlignment="1">
      <alignment textRotation="255"/>
    </xf>
    <xf numFmtId="0" fontId="1" fillId="3" borderId="6" xfId="0" applyFont="1" applyFill="1" applyBorder="1" applyAlignment="1">
      <alignment textRotation="255"/>
    </xf>
    <xf numFmtId="0" fontId="1" fillId="3" borderId="12" xfId="0" applyFont="1" applyFill="1" applyBorder="1" applyAlignment="1">
      <alignment textRotation="255"/>
    </xf>
    <xf numFmtId="0" fontId="1" fillId="3" borderId="7" xfId="0" applyFont="1" applyFill="1" applyBorder="1" applyAlignment="1">
      <alignment textRotation="255"/>
    </xf>
    <xf numFmtId="0" fontId="0" fillId="0" borderId="4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ulář CC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08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0</xdr:rowOff>
    </xdr:from>
    <xdr:to>
      <xdr:col>9</xdr:col>
      <xdr:colOff>180975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7</xdr:col>
      <xdr:colOff>95250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057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0</xdr:row>
      <xdr:rowOff>0</xdr:rowOff>
    </xdr:from>
    <xdr:to>
      <xdr:col>6</xdr:col>
      <xdr:colOff>152400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2152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uroleasing.cz" TargetMode="External" /><Relationship Id="rId2" Type="http://schemas.openxmlformats.org/officeDocument/2006/relationships/hyperlink" Target="http://www.euroleasing.cz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1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.625" style="0" customWidth="1"/>
    <col min="2" max="2" width="25.00390625" style="0" customWidth="1"/>
    <col min="3" max="3" width="15.375" style="0" customWidth="1"/>
    <col min="4" max="4" width="4.75390625" style="0" customWidth="1"/>
    <col min="5" max="5" width="13.875" style="0" customWidth="1"/>
    <col min="6" max="6" width="5.75390625" style="0" customWidth="1"/>
    <col min="7" max="7" width="10.75390625" style="0" customWidth="1"/>
    <col min="8" max="8" width="8.75390625" style="0" customWidth="1"/>
    <col min="9" max="9" width="8.25390625" style="0" customWidth="1"/>
    <col min="10" max="10" width="3.25390625" style="2" customWidth="1"/>
    <col min="11" max="67" width="9.125" style="2" customWidth="1"/>
  </cols>
  <sheetData>
    <row r="1" spans="1:67" s="6" customFormat="1" ht="72.75" customHeight="1">
      <c r="A1" s="71"/>
      <c r="B1" s="121" t="s">
        <v>36</v>
      </c>
      <c r="C1" s="71"/>
      <c r="D1" s="71"/>
      <c r="E1" s="71"/>
      <c r="F1" s="71"/>
      <c r="G1" s="71"/>
      <c r="H1" s="71"/>
      <c r="I1" s="71"/>
      <c r="J1" s="11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67" s="6" customFormat="1" ht="20.25" customHeight="1">
      <c r="A2" s="71"/>
      <c r="B2" s="77" t="s">
        <v>142</v>
      </c>
      <c r="C2" s="71"/>
      <c r="D2" s="71"/>
      <c r="E2" s="71"/>
      <c r="F2" s="71"/>
      <c r="G2" s="71"/>
      <c r="H2" s="71"/>
      <c r="I2" s="71"/>
      <c r="J2" s="11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s="6" customFormat="1" ht="12.75" customHeight="1">
      <c r="A3" s="72"/>
      <c r="B3" s="146"/>
      <c r="C3" s="72"/>
      <c r="D3" s="72"/>
      <c r="E3" s="72"/>
      <c r="F3" s="72"/>
      <c r="G3" s="72"/>
      <c r="H3" s="72"/>
      <c r="I3" s="72"/>
      <c r="J3" s="1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5" customHeight="1">
      <c r="A4" s="72"/>
      <c r="B4" s="73">
        <f>IF(C5&lt;25000,"Minimální cena předmětu je 25.000 Kč !!!","")</f>
      </c>
      <c r="C4" s="72"/>
      <c r="D4" s="72"/>
      <c r="E4" s="72"/>
      <c r="F4" s="72"/>
      <c r="G4" s="72"/>
      <c r="H4" s="72"/>
      <c r="I4" s="72"/>
      <c r="J4" s="1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6" customFormat="1" ht="18" customHeight="1">
      <c r="A5" s="72"/>
      <c r="B5" s="123" t="s">
        <v>37</v>
      </c>
      <c r="C5" s="124">
        <v>100000</v>
      </c>
      <c r="D5" s="116"/>
      <c r="E5" s="315" t="s">
        <v>69</v>
      </c>
      <c r="F5" s="316"/>
      <c r="G5" s="312"/>
      <c r="H5" s="313"/>
      <c r="I5" s="314"/>
      <c r="J5" s="12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6" customFormat="1" ht="4.5" customHeight="1">
      <c r="A6" s="72"/>
      <c r="B6" s="78"/>
      <c r="C6" s="125"/>
      <c r="D6" s="129"/>
      <c r="E6" s="129"/>
      <c r="F6" s="129"/>
      <c r="G6" s="129"/>
      <c r="H6" s="129"/>
      <c r="I6" s="127"/>
      <c r="J6" s="1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6" customFormat="1" ht="18" customHeight="1">
      <c r="A7" s="72"/>
      <c r="B7" s="123" t="s">
        <v>61</v>
      </c>
      <c r="C7" s="135">
        <v>0.2</v>
      </c>
      <c r="D7" s="117"/>
      <c r="E7" s="317" t="s">
        <v>72</v>
      </c>
      <c r="F7" s="317"/>
      <c r="G7" s="317"/>
      <c r="H7" s="318"/>
      <c r="I7" s="319"/>
      <c r="J7" s="12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6" customFormat="1" ht="12.75" customHeight="1" hidden="1">
      <c r="A8" s="72"/>
      <c r="B8" s="78"/>
      <c r="C8" s="125"/>
      <c r="D8" s="130"/>
      <c r="E8" s="130"/>
      <c r="F8" s="130"/>
      <c r="G8" s="130"/>
      <c r="H8" s="130"/>
      <c r="I8" s="131"/>
      <c r="J8" s="1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s="6" customFormat="1" ht="15" customHeight="1" hidden="1">
      <c r="A9" s="72"/>
      <c r="B9" s="123" t="s">
        <v>47</v>
      </c>
      <c r="C9" s="126"/>
      <c r="D9" s="130"/>
      <c r="E9" s="130"/>
      <c r="F9" s="130"/>
      <c r="G9" s="130"/>
      <c r="H9" s="130"/>
      <c r="I9" s="131"/>
      <c r="J9" s="1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s="6" customFormat="1" ht="6" customHeight="1">
      <c r="A10" s="72"/>
      <c r="B10" s="78"/>
      <c r="C10" s="125"/>
      <c r="D10" s="130"/>
      <c r="E10" s="130"/>
      <c r="F10" s="130"/>
      <c r="G10" s="130"/>
      <c r="H10" s="130"/>
      <c r="I10" s="127"/>
      <c r="J10" s="12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6" customFormat="1" ht="17.25" customHeight="1">
      <c r="A11" s="72"/>
      <c r="B11" s="123" t="s">
        <v>47</v>
      </c>
      <c r="C11" s="126"/>
      <c r="D11" s="130"/>
      <c r="E11" s="317" t="s">
        <v>62</v>
      </c>
      <c r="F11" s="317"/>
      <c r="G11" s="317"/>
      <c r="H11" s="320">
        <f>C39/100</f>
        <v>0.3</v>
      </c>
      <c r="I11" s="321"/>
      <c r="J11" s="12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s="6" customFormat="1" ht="9" customHeight="1" thickBot="1">
      <c r="A12" s="72"/>
      <c r="B12" s="122"/>
      <c r="C12" s="291"/>
      <c r="D12" s="130"/>
      <c r="E12" s="130"/>
      <c r="F12" s="130"/>
      <c r="G12" s="130"/>
      <c r="H12" s="130"/>
      <c r="I12" s="127"/>
      <c r="J12" s="12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s="6" customFormat="1" ht="19.5" customHeight="1" thickTop="1">
      <c r="A13" s="72"/>
      <c r="B13" s="122"/>
      <c r="C13" s="291"/>
      <c r="D13" s="79"/>
      <c r="E13" s="310" t="s">
        <v>68</v>
      </c>
      <c r="F13" s="311"/>
      <c r="G13" s="136" t="s">
        <v>65</v>
      </c>
      <c r="H13" s="137" t="s">
        <v>66</v>
      </c>
      <c r="I13" s="138" t="s">
        <v>67</v>
      </c>
      <c r="J13" s="11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s="6" customFormat="1" ht="19.5" customHeight="1">
      <c r="A14" s="72"/>
      <c r="B14" s="147" t="str">
        <f>B207</f>
        <v>EUROLEASING 1/2011</v>
      </c>
      <c r="C14" s="148" t="str">
        <f>C207</f>
        <v>Platnost od 1.1.2011</v>
      </c>
      <c r="D14" s="79"/>
      <c r="E14" s="139" t="s">
        <v>63</v>
      </c>
      <c r="F14" s="132"/>
      <c r="G14" s="134">
        <f>IF($C$31=1,H14+I14,IF($C$31=2,C44,C44))</f>
        <v>36000</v>
      </c>
      <c r="H14" s="133">
        <f>IF($C$31=1,I14*C7,IF($C$31=2,C5*C7,D49))</f>
        <v>6000</v>
      </c>
      <c r="I14" s="140">
        <f>IF($C$31=1,C54,IF($C$31=2,G14-H14,G14-H14))</f>
        <v>30000</v>
      </c>
      <c r="J14" s="1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6" customFormat="1" ht="19.5" customHeight="1" thickBot="1">
      <c r="A15" s="72"/>
      <c r="B15" s="307" t="s">
        <v>122</v>
      </c>
      <c r="C15" s="308"/>
      <c r="D15" s="79"/>
      <c r="E15" s="141" t="s">
        <v>64</v>
      </c>
      <c r="F15" s="142"/>
      <c r="G15" s="143">
        <f>IF($C$31=1,H15+I15,IF($C$31=2,F58,C49))</f>
        <v>3018.059920158191</v>
      </c>
      <c r="H15" s="144">
        <f>IF($C$31=1,I15*C7,IF($C$31=2,0,0))</f>
        <v>503.0099866930318</v>
      </c>
      <c r="I15" s="145">
        <f>IF($C$31=1,F55,IF($C$31=2,0,0))</f>
        <v>2515.049933465159</v>
      </c>
      <c r="J15" s="1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s="6" customFormat="1" ht="24.75" customHeight="1" thickTop="1">
      <c r="A16" s="72"/>
      <c r="B16" s="309"/>
      <c r="C16" s="309"/>
      <c r="D16" s="74"/>
      <c r="E16" s="74"/>
      <c r="F16" s="74"/>
      <c r="G16" s="74"/>
      <c r="H16" s="74"/>
      <c r="I16" s="72"/>
      <c r="J16" s="1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6" customFormat="1" ht="15" customHeight="1">
      <c r="A17" s="71"/>
      <c r="B17" s="75"/>
      <c r="C17" s="71"/>
      <c r="D17" s="71"/>
      <c r="E17" s="76"/>
      <c r="F17" s="75"/>
      <c r="G17" s="75"/>
      <c r="H17" s="75"/>
      <c r="I17" s="71"/>
      <c r="J17" s="11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10" s="61" customFormat="1" ht="15" customHeight="1" hidden="1">
      <c r="A18" s="59"/>
      <c r="B18" s="110" t="s">
        <v>59</v>
      </c>
      <c r="C18" s="111"/>
      <c r="D18" s="1"/>
      <c r="E18" s="59"/>
      <c r="F18" s="59"/>
      <c r="G18" s="59"/>
      <c r="H18" s="59"/>
      <c r="I18" s="59"/>
      <c r="J18" s="59"/>
    </row>
    <row r="19" spans="1:10" s="61" customFormat="1" ht="15" customHeight="1" hidden="1">
      <c r="A19" s="59"/>
      <c r="B19" s="112" t="s">
        <v>60</v>
      </c>
      <c r="C19" s="324" t="s">
        <v>38</v>
      </c>
      <c r="D19" s="324"/>
      <c r="E19" s="59"/>
      <c r="F19" s="59"/>
      <c r="G19" s="59"/>
      <c r="H19" s="59"/>
      <c r="I19" s="59"/>
      <c r="J19" s="59"/>
    </row>
    <row r="20" spans="1:10" s="61" customFormat="1" ht="15" customHeight="1" hidden="1">
      <c r="A20" s="59"/>
      <c r="B20" s="112" t="s">
        <v>39</v>
      </c>
      <c r="C20" s="324" t="s">
        <v>40</v>
      </c>
      <c r="D20" s="324"/>
      <c r="E20" s="59"/>
      <c r="F20" s="59"/>
      <c r="G20" s="59"/>
      <c r="H20" s="59"/>
      <c r="I20" s="59"/>
      <c r="J20" s="59"/>
    </row>
    <row r="21" spans="1:10" s="61" customFormat="1" ht="15" customHeight="1" hidden="1">
      <c r="A21" s="59"/>
      <c r="B21" s="112" t="s">
        <v>41</v>
      </c>
      <c r="C21" s="325" t="s">
        <v>42</v>
      </c>
      <c r="D21" s="326"/>
      <c r="E21" s="59"/>
      <c r="F21" s="59"/>
      <c r="G21" s="59"/>
      <c r="H21" s="59"/>
      <c r="I21" s="59"/>
      <c r="J21" s="59"/>
    </row>
    <row r="22" spans="1:10" s="61" customFormat="1" ht="15" customHeight="1" hidden="1">
      <c r="A22" s="59"/>
      <c r="B22" s="112" t="s">
        <v>43</v>
      </c>
      <c r="C22" s="325" t="s">
        <v>44</v>
      </c>
      <c r="D22" s="326"/>
      <c r="E22" s="59"/>
      <c r="F22" s="59"/>
      <c r="G22" s="59"/>
      <c r="H22" s="59"/>
      <c r="I22" s="59"/>
      <c r="J22" s="59"/>
    </row>
    <row r="23" spans="1:10" s="61" customFormat="1" ht="15" customHeight="1" hidden="1">
      <c r="A23" s="59"/>
      <c r="B23" s="112" t="s">
        <v>45</v>
      </c>
      <c r="C23" s="327" t="s">
        <v>46</v>
      </c>
      <c r="D23" s="324"/>
      <c r="E23" s="59"/>
      <c r="F23" s="59"/>
      <c r="G23" s="59"/>
      <c r="H23" s="59"/>
      <c r="I23" s="59"/>
      <c r="J23" s="59"/>
    </row>
    <row r="24" spans="1:10" s="16" customFormat="1" ht="15" customHeight="1" hidden="1">
      <c r="A24" s="15"/>
      <c r="B24" s="112" t="s">
        <v>53</v>
      </c>
      <c r="C24" s="323" t="s">
        <v>54</v>
      </c>
      <c r="D24" s="324"/>
      <c r="E24" s="15"/>
      <c r="F24" s="15"/>
      <c r="G24" s="15"/>
      <c r="H24" s="15"/>
      <c r="I24" s="15"/>
      <c r="J24" s="15"/>
    </row>
    <row r="25" spans="1:10" s="16" customFormat="1" ht="15" customHeight="1" hidden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69" customFormat="1" ht="15" customHeight="1" hidden="1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269" customFormat="1" ht="15" customHeight="1" hidden="1" thickBot="1">
      <c r="A27" s="31"/>
      <c r="B27" s="31" t="s">
        <v>57</v>
      </c>
      <c r="C27" s="270">
        <v>1</v>
      </c>
      <c r="D27" s="31"/>
      <c r="E27" s="31"/>
      <c r="F27" s="31"/>
      <c r="G27" s="31"/>
      <c r="H27" s="31"/>
      <c r="I27" s="31"/>
      <c r="J27" s="31"/>
    </row>
    <row r="28" spans="1:10" s="269" customFormat="1" ht="15" customHeight="1" hidden="1">
      <c r="A28" s="31"/>
      <c r="B28" s="271" t="s">
        <v>70</v>
      </c>
      <c r="C28" s="272"/>
      <c r="D28" s="31"/>
      <c r="E28" s="31"/>
      <c r="F28" s="31"/>
      <c r="G28" s="31"/>
      <c r="H28" s="31"/>
      <c r="I28" s="31"/>
      <c r="J28" s="31"/>
    </row>
    <row r="29" spans="1:10" s="269" customFormat="1" ht="15" customHeight="1" hidden="1">
      <c r="A29" s="31"/>
      <c r="B29" s="271" t="s">
        <v>71</v>
      </c>
      <c r="C29" s="272"/>
      <c r="D29" s="31"/>
      <c r="E29" s="31"/>
      <c r="F29" s="31"/>
      <c r="G29" s="31"/>
      <c r="H29" s="31"/>
      <c r="I29" s="31"/>
      <c r="J29" s="31"/>
    </row>
    <row r="30" spans="1:10" s="269" customFormat="1" ht="15" customHeight="1" hidden="1" thickBot="1">
      <c r="A30" s="31"/>
      <c r="B30" s="273"/>
      <c r="C30" s="273"/>
      <c r="D30" s="31"/>
      <c r="E30" s="31"/>
      <c r="F30" s="31"/>
      <c r="G30" s="31"/>
      <c r="H30" s="31"/>
      <c r="I30" s="31"/>
      <c r="J30" s="31"/>
    </row>
    <row r="31" spans="1:10" s="269" customFormat="1" ht="15" customHeight="1" hidden="1" thickBot="1">
      <c r="A31" s="31"/>
      <c r="B31" s="271" t="s">
        <v>69</v>
      </c>
      <c r="C31" s="274">
        <v>1</v>
      </c>
      <c r="D31" s="31"/>
      <c r="E31" s="31"/>
      <c r="F31" s="31"/>
      <c r="G31" s="31"/>
      <c r="H31" s="31"/>
      <c r="I31" s="31"/>
      <c r="J31" s="31"/>
    </row>
    <row r="32" spans="1:10" s="269" customFormat="1" ht="15" customHeight="1" hidden="1" thickBot="1">
      <c r="A32" s="31"/>
      <c r="B32" s="31"/>
      <c r="C32" s="272"/>
      <c r="D32" s="31"/>
      <c r="E32" s="31"/>
      <c r="F32" s="31"/>
      <c r="G32" s="31"/>
      <c r="H32" s="31"/>
      <c r="I32" s="31"/>
      <c r="J32" s="31"/>
    </row>
    <row r="33" spans="1:10" s="269" customFormat="1" ht="15" customHeight="1" hidden="1" thickBot="1">
      <c r="A33" s="31"/>
      <c r="B33" s="31" t="s">
        <v>72</v>
      </c>
      <c r="C33" s="275">
        <v>3</v>
      </c>
      <c r="D33" s="31"/>
      <c r="E33" s="270">
        <f>IF(C33=1,60,IF(C33=2,48,IF(C33=3,36,IF(C33=4,24,IF(C33=5,12,0)))))</f>
        <v>36</v>
      </c>
      <c r="F33" s="31"/>
      <c r="G33" s="31"/>
      <c r="H33" s="31"/>
      <c r="I33" s="31"/>
      <c r="J33" s="31"/>
    </row>
    <row r="34" spans="1:10" s="269" customFormat="1" ht="15" customHeight="1" hidden="1">
      <c r="A34" s="31"/>
      <c r="B34" s="271" t="str">
        <f>IF(C31=3,"      3 měsíce","      60 měsíců")</f>
        <v>      60 měsíců</v>
      </c>
      <c r="C34" s="276"/>
      <c r="D34" s="31"/>
      <c r="E34" s="31"/>
      <c r="F34" s="31"/>
      <c r="G34" s="31"/>
      <c r="H34" s="31"/>
      <c r="I34" s="31"/>
      <c r="J34" s="31"/>
    </row>
    <row r="35" spans="1:10" s="269" customFormat="1" ht="15" customHeight="1" hidden="1">
      <c r="A35" s="31"/>
      <c r="B35" s="271" t="str">
        <f>IF(C31=3,"      4 měsíce","      48 měsíců")</f>
        <v>      48 měsíců</v>
      </c>
      <c r="C35" s="272"/>
      <c r="D35" s="31"/>
      <c r="E35" s="31"/>
      <c r="F35" s="31"/>
      <c r="G35" s="31"/>
      <c r="H35" s="31"/>
      <c r="I35" s="31"/>
      <c r="J35" s="31"/>
    </row>
    <row r="36" spans="1:10" s="269" customFormat="1" ht="15" customHeight="1" hidden="1">
      <c r="A36" s="31"/>
      <c r="B36" s="271" t="str">
        <f>IF(C31=3,"      5 měsíců","      36 měsíců")</f>
        <v>      36 měsíců</v>
      </c>
      <c r="C36" s="272"/>
      <c r="D36" s="31"/>
      <c r="E36" s="31"/>
      <c r="F36" s="31"/>
      <c r="G36" s="31"/>
      <c r="H36" s="31"/>
      <c r="I36" s="31"/>
      <c r="J36" s="31"/>
    </row>
    <row r="37" spans="1:10" s="280" customFormat="1" ht="15" customHeight="1" hidden="1">
      <c r="A37" s="277"/>
      <c r="B37" s="278" t="str">
        <f>IF(C31=3,"      6 měsíců","      24 měsíců")</f>
        <v>      24 měsíců</v>
      </c>
      <c r="C37" s="279"/>
      <c r="D37" s="277"/>
      <c r="E37" s="277"/>
      <c r="F37" s="277"/>
      <c r="G37" s="277"/>
      <c r="H37" s="277"/>
      <c r="I37" s="277"/>
      <c r="J37" s="277"/>
    </row>
    <row r="38" spans="1:10" s="280" customFormat="1" ht="15" customHeight="1" hidden="1" thickBot="1">
      <c r="A38" s="277"/>
      <c r="B38" s="278" t="str">
        <f>IF(C31=3,"","      12 měsíců")</f>
        <v>      12 měsíců</v>
      </c>
      <c r="C38" s="279"/>
      <c r="D38" s="277"/>
      <c r="E38" s="277"/>
      <c r="F38" s="277"/>
      <c r="G38" s="277"/>
      <c r="H38" s="277"/>
      <c r="I38" s="277"/>
      <c r="J38" s="277"/>
    </row>
    <row r="39" spans="1:10" s="280" customFormat="1" ht="15" customHeight="1" hidden="1" thickBot="1">
      <c r="A39" s="277"/>
      <c r="B39" s="278" t="s">
        <v>62</v>
      </c>
      <c r="C39" s="270">
        <v>30</v>
      </c>
      <c r="D39" s="277"/>
      <c r="E39" s="277"/>
      <c r="F39" s="277"/>
      <c r="G39" s="277"/>
      <c r="H39" s="277"/>
      <c r="I39" s="277"/>
      <c r="J39" s="277"/>
    </row>
    <row r="40" spans="1:10" s="280" customFormat="1" ht="15" customHeight="1" hidden="1">
      <c r="A40" s="277"/>
      <c r="B40" s="277"/>
      <c r="C40" s="279"/>
      <c r="D40" s="277"/>
      <c r="E40" s="277"/>
      <c r="F40" s="277"/>
      <c r="G40" s="277"/>
      <c r="H40" s="277"/>
      <c r="I40" s="277"/>
      <c r="J40" s="277"/>
    </row>
    <row r="41" spans="1:10" s="280" customFormat="1" ht="15" customHeight="1" hidden="1">
      <c r="A41" s="277"/>
      <c r="B41" s="277" t="s">
        <v>74</v>
      </c>
      <c r="C41" s="279">
        <f>C5*(1+C7)</f>
        <v>120000</v>
      </c>
      <c r="D41" s="281"/>
      <c r="E41" s="282">
        <f>C7+1</f>
        <v>1.2</v>
      </c>
      <c r="F41" s="277"/>
      <c r="G41" s="277"/>
      <c r="H41" s="277"/>
      <c r="I41" s="277"/>
      <c r="J41" s="277"/>
    </row>
    <row r="42" spans="1:10" s="280" customFormat="1" ht="15" customHeight="1" hidden="1">
      <c r="A42" s="277"/>
      <c r="B42" s="277"/>
      <c r="C42" s="279"/>
      <c r="D42" s="277"/>
      <c r="E42" s="277"/>
      <c r="F42" s="277"/>
      <c r="G42" s="277"/>
      <c r="H42" s="277"/>
      <c r="I42" s="277"/>
      <c r="J42" s="277"/>
    </row>
    <row r="43" spans="1:10" s="280" customFormat="1" ht="15" customHeight="1" hidden="1">
      <c r="A43" s="277"/>
      <c r="B43" s="277" t="s">
        <v>79</v>
      </c>
      <c r="C43" s="279" t="s">
        <v>78</v>
      </c>
      <c r="D43" s="277" t="s">
        <v>66</v>
      </c>
      <c r="E43" s="277"/>
      <c r="F43" s="277"/>
      <c r="G43" s="277"/>
      <c r="H43" s="277"/>
      <c r="I43" s="277"/>
      <c r="J43" s="277"/>
    </row>
    <row r="44" spans="1:10" s="280" customFormat="1" ht="15" customHeight="1" hidden="1">
      <c r="A44" s="277"/>
      <c r="B44" s="277" t="s">
        <v>73</v>
      </c>
      <c r="C44" s="279">
        <f>C41*H11</f>
        <v>36000</v>
      </c>
      <c r="D44" s="277"/>
      <c r="E44" s="277"/>
      <c r="F44" s="277"/>
      <c r="G44" s="277"/>
      <c r="H44" s="277"/>
      <c r="I44" s="277"/>
      <c r="J44" s="277"/>
    </row>
    <row r="45" spans="1:10" s="280" customFormat="1" ht="15" customHeight="1" hidden="1">
      <c r="A45" s="277"/>
      <c r="B45" s="277" t="s">
        <v>75</v>
      </c>
      <c r="C45" s="279">
        <f>IF(C27=1,(((((C41-C44)*5%+2500)+C5)*E41)-C44)/3,(((((C41-C44)*6%+4000)+C5)*E41)-C44)/3)</f>
        <v>30680</v>
      </c>
      <c r="D45" s="322">
        <f>IF(C27=1,((C41-C44)*5%+2500+C5)*C7,((C41-C44)*6%+4000+C5)*C7)</f>
        <v>21340</v>
      </c>
      <c r="E45" s="322"/>
      <c r="F45" s="277"/>
      <c r="G45" s="277"/>
      <c r="H45" s="277"/>
      <c r="I45" s="277"/>
      <c r="J45" s="277"/>
    </row>
    <row r="46" spans="1:10" s="280" customFormat="1" ht="15" customHeight="1" hidden="1">
      <c r="A46" s="277"/>
      <c r="B46" s="277" t="s">
        <v>76</v>
      </c>
      <c r="C46" s="279">
        <f>IF(C27=1,(((((C41-C44)*6%+2500)+C5)*E41)-C44)/4,(((((C41-C44)*8%+4000)+C5)*E41)-C44)/4)</f>
        <v>23262</v>
      </c>
      <c r="D46" s="322">
        <f>IF(C27=1,((C41-C44)*6%+2500+C5)*C7,((C41-C44)*8%+4000+C5)*C7)</f>
        <v>21508</v>
      </c>
      <c r="E46" s="322"/>
      <c r="F46" s="277"/>
      <c r="G46" s="277"/>
      <c r="H46" s="277"/>
      <c r="I46" s="277"/>
      <c r="J46" s="277"/>
    </row>
    <row r="47" spans="1:10" s="280" customFormat="1" ht="15" customHeight="1" hidden="1">
      <c r="A47" s="277"/>
      <c r="B47" s="277" t="s">
        <v>77</v>
      </c>
      <c r="C47" s="283">
        <f>IF(C27=1,(((((C41-C44)*8%+2500)+C5)*E41)-C44)/5,(((((C41-C44)*11%+4000)+C5)*E41)-C44)/5)</f>
        <v>19012.8</v>
      </c>
      <c r="D47" s="322">
        <f>IF(C27=1,((C41-C44)*8%+2500+C5)*C7,((C41-C44)*11%+4000+C5)*C7)</f>
        <v>21844</v>
      </c>
      <c r="E47" s="322"/>
      <c r="F47" s="277"/>
      <c r="G47" s="277"/>
      <c r="H47" s="277"/>
      <c r="I47" s="277"/>
      <c r="J47" s="277"/>
    </row>
    <row r="48" spans="1:10" s="280" customFormat="1" ht="15" customHeight="1" hidden="1">
      <c r="A48" s="277"/>
      <c r="B48" s="277" t="s">
        <v>137</v>
      </c>
      <c r="C48" s="283">
        <f>IF(C27=1,(((((C41-C44)*10%+2500)+C5)*E41)-C44)/6,(((((C41-C44)*13%+4000)+C5)*E41)-C44)/6)</f>
        <v>16180</v>
      </c>
      <c r="D48" s="322">
        <f>IF(C27=1,((C41-C44)*10%+2500+C5)*C7,((C41-C44)*13%+4000+C5)*C7)</f>
        <v>22180</v>
      </c>
      <c r="E48" s="322"/>
      <c r="F48" s="277"/>
      <c r="G48" s="277"/>
      <c r="H48" s="277"/>
      <c r="I48" s="277"/>
      <c r="J48" s="277"/>
    </row>
    <row r="49" spans="1:10" s="280" customFormat="1" ht="15" customHeight="1" hidden="1">
      <c r="A49" s="277"/>
      <c r="B49" s="284" t="s">
        <v>55</v>
      </c>
      <c r="C49" s="285">
        <f>IF($C$33=1,C45,IF($C$33=2,C46,IF($C$33=3,C47,C48)))</f>
        <v>19012.8</v>
      </c>
      <c r="D49" s="329">
        <f>IF($C$33=1,D45,IF($C$33=2,D46,IF($C$33=3,D47,D48)))</f>
        <v>21844</v>
      </c>
      <c r="E49" s="330"/>
      <c r="F49" s="277"/>
      <c r="G49" s="277"/>
      <c r="H49" s="277"/>
      <c r="I49" s="277"/>
      <c r="J49" s="277"/>
    </row>
    <row r="50" spans="1:10" s="280" customFormat="1" ht="15" customHeight="1" hidden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</row>
    <row r="51" spans="1:10" s="280" customFormat="1" ht="15" customHeight="1" hidden="1">
      <c r="A51" s="277"/>
      <c r="B51" s="284" t="s">
        <v>80</v>
      </c>
      <c r="C51" s="279" t="s">
        <v>30</v>
      </c>
      <c r="D51" s="277"/>
      <c r="E51" s="279" t="s">
        <v>82</v>
      </c>
      <c r="F51" s="277"/>
      <c r="G51" s="277"/>
      <c r="H51" s="277"/>
      <c r="I51" s="277"/>
      <c r="J51" s="277"/>
    </row>
    <row r="52" spans="1:10" s="280" customFormat="1" ht="15" customHeight="1" hidden="1" thickBot="1">
      <c r="A52" s="277"/>
      <c r="B52" s="277" t="s">
        <v>24</v>
      </c>
      <c r="C52" s="286">
        <f>IF($C$5&lt;250000,11.5%,IF($C$5&lt;500000,9.5%,IF($C$5&lt;1000000,9%,8%)))</f>
        <v>0.115</v>
      </c>
      <c r="D52" s="277"/>
      <c r="E52" s="287">
        <f>IF($C$5&lt;250000,17%,IF($C$5&lt;500000,13%,IF($C$5&lt;1000000,12%,11%)))</f>
        <v>0.17</v>
      </c>
      <c r="F52" s="277"/>
      <c r="G52" s="277"/>
      <c r="H52" s="277"/>
      <c r="I52" s="277"/>
      <c r="J52" s="277"/>
    </row>
    <row r="53" spans="1:10" s="280" customFormat="1" ht="15" customHeight="1" hidden="1" thickBot="1">
      <c r="A53" s="277"/>
      <c r="B53" s="277" t="s">
        <v>81</v>
      </c>
      <c r="C53" s="286">
        <f>IF($C$5&lt;250000,7%,IF($C$5&lt;500000,6.5%,IF($C$5&lt;1000000,6%,5.5%)))</f>
        <v>0.07</v>
      </c>
      <c r="D53" s="277"/>
      <c r="E53" s="286">
        <f>IF($C$5&lt;250000,6.5%,IF($C$5&lt;500000,5.5%,IF($C$5&lt;1000000,4.5%,3.5%)))</f>
        <v>0.065</v>
      </c>
      <c r="F53" s="286">
        <f>IF($C$5&lt;250000,4%,IF($C$5&lt;500000,3%,IF($C$5&lt;1000000,2.5%,2%)))</f>
        <v>0.04</v>
      </c>
      <c r="G53" s="288">
        <f>IF($C$201=1,C53,IF($C$201=2,E53,F53))</f>
        <v>0.07</v>
      </c>
      <c r="H53" s="277"/>
      <c r="I53" s="277"/>
      <c r="J53" s="277"/>
    </row>
    <row r="54" spans="1:10" s="280" customFormat="1" ht="15" customHeight="1" hidden="1">
      <c r="A54" s="277"/>
      <c r="B54" s="277" t="s">
        <v>56</v>
      </c>
      <c r="C54" s="289">
        <f>C5*H11</f>
        <v>30000</v>
      </c>
      <c r="D54" s="277"/>
      <c r="E54" s="277"/>
      <c r="F54" s="277"/>
      <c r="G54" s="277"/>
      <c r="H54" s="277"/>
      <c r="I54" s="277"/>
      <c r="J54" s="277"/>
    </row>
    <row r="55" spans="1:10" s="280" customFormat="1" ht="15" customHeight="1" hidden="1">
      <c r="A55" s="277"/>
      <c r="B55" s="277" t="s">
        <v>78</v>
      </c>
      <c r="C55" s="290">
        <f>PMT($C$52/12,E33,-((C5-C54)+(C5*G53)),,1)</f>
        <v>2515.049933465159</v>
      </c>
      <c r="D55" s="277"/>
      <c r="E55" s="290">
        <f>PMT($E$52/12,E33,-((C5-C54)+(C5*G53)),,1)</f>
        <v>2706.912098168627</v>
      </c>
      <c r="F55" s="331">
        <f>IF(C27=1,C55,E55)</f>
        <v>2515.049933465159</v>
      </c>
      <c r="G55" s="331"/>
      <c r="H55" s="277"/>
      <c r="I55" s="277"/>
      <c r="J55" s="277"/>
    </row>
    <row r="56" spans="1:10" s="280" customFormat="1" ht="15" customHeight="1" hidden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</row>
    <row r="57" spans="1:10" s="280" customFormat="1" ht="15" customHeight="1" hidden="1">
      <c r="A57" s="277"/>
      <c r="B57" s="277" t="s">
        <v>83</v>
      </c>
      <c r="C57" s="277"/>
      <c r="D57" s="277"/>
      <c r="E57" s="277"/>
      <c r="F57" s="277"/>
      <c r="G57" s="277"/>
      <c r="H57" s="277"/>
      <c r="I57" s="277"/>
      <c r="J57" s="277"/>
    </row>
    <row r="58" spans="1:10" s="280" customFormat="1" ht="15" customHeight="1" hidden="1">
      <c r="A58" s="277"/>
      <c r="B58" s="277" t="s">
        <v>78</v>
      </c>
      <c r="C58" s="290">
        <f>PMT($C$52/12,E33,-((C41-C44)+(C41*G53)),,1)</f>
        <v>3018.059920158191</v>
      </c>
      <c r="D58" s="277"/>
      <c r="E58" s="290">
        <f>(PMT(15%/12,E33,-(C41-C44),,1))+(PMT(20%/12,E33,-(C5*G53),,1))</f>
        <v>3131.8187748102896</v>
      </c>
      <c r="F58" s="328">
        <f>IF(C27=1,C58,E58)</f>
        <v>3018.059920158191</v>
      </c>
      <c r="G58" s="328"/>
      <c r="H58" s="277"/>
      <c r="I58" s="277"/>
      <c r="J58" s="277"/>
    </row>
    <row r="59" spans="1:10" s="280" customFormat="1" ht="15" customHeight="1" hidden="1">
      <c r="A59" s="277"/>
      <c r="B59" s="277"/>
      <c r="C59" s="277"/>
      <c r="D59" s="277"/>
      <c r="E59" s="277"/>
      <c r="F59" s="277"/>
      <c r="G59" s="277"/>
      <c r="H59" s="277"/>
      <c r="I59" s="277"/>
      <c r="J59" s="277"/>
    </row>
    <row r="60" spans="1:10" s="280" customFormat="1" ht="15" customHeight="1" hidden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</row>
    <row r="61" spans="1:10" s="280" customFormat="1" ht="15" customHeight="1" hidden="1">
      <c r="A61" s="277"/>
      <c r="B61" s="277"/>
      <c r="C61" s="277"/>
      <c r="D61" s="277"/>
      <c r="E61" s="277"/>
      <c r="F61" s="277"/>
      <c r="G61" s="277"/>
      <c r="H61" s="277"/>
      <c r="I61" s="277"/>
      <c r="J61" s="277"/>
    </row>
    <row r="62" spans="1:10" s="280" customFormat="1" ht="15" customHeight="1" hidden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</row>
    <row r="63" spans="1:10" s="61" customFormat="1" ht="15" customHeight="1" hidden="1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="61" customFormat="1" ht="15" customHeight="1"/>
    <row r="65" s="61" customFormat="1" ht="15" customHeight="1"/>
    <row r="66" s="61" customFormat="1" ht="15" customHeight="1"/>
    <row r="67" s="61" customFormat="1" ht="15.75" customHeight="1"/>
    <row r="68" s="61" customFormat="1" ht="15.75" customHeight="1"/>
    <row r="69" s="61" customFormat="1" ht="15.75" customHeight="1"/>
    <row r="70" s="61" customFormat="1" ht="15.75" customHeight="1"/>
    <row r="71" s="61" customFormat="1" ht="15.75" customHeight="1"/>
    <row r="72" s="61" customFormat="1" ht="15.75" customHeight="1"/>
    <row r="73" s="61" customFormat="1" ht="15.75" customHeight="1"/>
    <row r="74" s="61" customFormat="1" ht="15.75" customHeight="1"/>
    <row r="75" s="61" customFormat="1" ht="15.75" customHeight="1"/>
    <row r="76" s="61" customFormat="1" ht="15.75" customHeight="1"/>
    <row r="77" s="61" customFormat="1" ht="15.75" customHeight="1"/>
    <row r="78" s="61" customFormat="1" ht="15.75" customHeight="1"/>
    <row r="79" s="61" customFormat="1" ht="15.75" customHeight="1"/>
    <row r="80" s="61" customFormat="1" ht="15.75" customHeight="1"/>
    <row r="81" s="61" customFormat="1" ht="15.75" customHeight="1"/>
    <row r="82" s="61" customFormat="1" ht="15.75" customHeight="1"/>
    <row r="83" s="61" customFormat="1" ht="15.75" customHeight="1"/>
    <row r="84" s="61" customFormat="1" ht="15.75" customHeight="1"/>
    <row r="85" s="61" customFormat="1" ht="15.75" customHeight="1"/>
    <row r="86" s="61" customFormat="1" ht="15.75" customHeight="1"/>
    <row r="87" s="61" customFormat="1" ht="15.75" customHeight="1"/>
    <row r="88" s="61" customFormat="1" ht="15.75" customHeight="1"/>
    <row r="89" s="61" customFormat="1" ht="15.75" customHeight="1"/>
    <row r="90" s="61" customFormat="1" ht="15.75" customHeight="1"/>
    <row r="91" s="61" customFormat="1" ht="15.75" customHeight="1"/>
    <row r="92" s="61" customFormat="1" ht="15.75" customHeight="1"/>
    <row r="93" s="61" customFormat="1" ht="15.75" customHeight="1"/>
    <row r="94" s="61" customFormat="1" ht="15.75" customHeight="1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pans="68:70" s="2" customFormat="1" ht="12.75">
      <c r="BP187"/>
      <c r="BQ187"/>
      <c r="BR187"/>
    </row>
    <row r="188" spans="68:70" s="2" customFormat="1" ht="12.75">
      <c r="BP188"/>
      <c r="BQ188"/>
      <c r="BR188"/>
    </row>
    <row r="189" spans="68:70" s="2" customFormat="1" ht="12.75">
      <c r="BP189"/>
      <c r="BQ189"/>
      <c r="BR189"/>
    </row>
    <row r="190" spans="68:70" s="2" customFormat="1" ht="12.75">
      <c r="BP190"/>
      <c r="BQ190"/>
      <c r="BR190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81" t="s">
        <v>29</v>
      </c>
      <c r="C196" s="82">
        <v>2</v>
      </c>
      <c r="D196" s="2"/>
      <c r="E196" s="2"/>
      <c r="F196" s="2"/>
      <c r="G196" s="2"/>
      <c r="H196" s="2"/>
      <c r="I196" s="2"/>
    </row>
    <row r="197" spans="1:9" ht="12.75">
      <c r="A197" s="2"/>
      <c r="B197" s="83" t="s">
        <v>22</v>
      </c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83" t="s">
        <v>23</v>
      </c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84" t="s">
        <v>52</v>
      </c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81" t="s">
        <v>25</v>
      </c>
      <c r="C201" s="82">
        <v>1</v>
      </c>
      <c r="D201" s="2"/>
      <c r="E201" s="2"/>
      <c r="F201" s="2"/>
      <c r="G201" s="2"/>
      <c r="H201" s="2"/>
      <c r="I201" s="2"/>
    </row>
    <row r="202" spans="1:9" ht="12.75">
      <c r="A202" s="2"/>
      <c r="B202" s="83" t="s">
        <v>26</v>
      </c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83" t="s">
        <v>27</v>
      </c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84" t="s">
        <v>28</v>
      </c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80" t="s">
        <v>33</v>
      </c>
      <c r="C206" s="80" t="s">
        <v>34</v>
      </c>
      <c r="D206" s="2"/>
      <c r="E206" s="2"/>
      <c r="F206" s="2"/>
      <c r="G206" s="2"/>
      <c r="H206" s="2"/>
      <c r="I206" s="2"/>
    </row>
    <row r="207" spans="1:9" ht="12.75">
      <c r="A207" s="2"/>
      <c r="B207" s="193" t="s">
        <v>141</v>
      </c>
      <c r="C207" s="113" t="s">
        <v>140</v>
      </c>
      <c r="D207" s="194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 hidden="1">
      <c r="A209" s="2"/>
      <c r="B209" s="108" t="s">
        <v>58</v>
      </c>
      <c r="C209" s="2"/>
      <c r="D209" s="2"/>
      <c r="E209" s="2"/>
      <c r="F209" s="2"/>
      <c r="G209" s="2"/>
      <c r="H209" s="2"/>
      <c r="I209" s="2"/>
    </row>
    <row r="210" spans="1:9" ht="12.75" hidden="1">
      <c r="A210" s="2"/>
      <c r="B210" s="109" t="s">
        <v>30</v>
      </c>
      <c r="C210" s="106">
        <f>IF(C5&lt;250000,3.5%,IF(C5&lt;500000,3%,IF(C5&lt;1000000,2.5%,2%)))</f>
        <v>0.035</v>
      </c>
      <c r="D210" s="2"/>
      <c r="E210" s="2"/>
      <c r="F210" s="2"/>
      <c r="G210" s="2"/>
      <c r="H210" s="2"/>
      <c r="I210" s="2"/>
    </row>
    <row r="211" spans="1:9" ht="12.75" hidden="1">
      <c r="A211" s="2"/>
      <c r="B211" s="109" t="s">
        <v>31</v>
      </c>
      <c r="C211" s="106">
        <f>IF(C5&lt;250000,2%,IF(C5&lt;500000,1.5%,IF(C5&lt;1000000,1%,1%)))</f>
        <v>0.02</v>
      </c>
      <c r="D211" s="2"/>
      <c r="E211" s="2"/>
      <c r="F211" s="2"/>
      <c r="G211" s="2"/>
      <c r="H211" s="2"/>
      <c r="I211" s="2"/>
    </row>
    <row r="212" spans="1:9" ht="12.75" hidden="1">
      <c r="A212" s="2"/>
      <c r="B212" s="109" t="s">
        <v>32</v>
      </c>
      <c r="C212" s="106">
        <v>0</v>
      </c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</sheetData>
  <sheetProtection password="DBB2" sheet="1" objects="1" scenarios="1"/>
  <mergeCells count="21">
    <mergeCell ref="F58:G58"/>
    <mergeCell ref="D46:E46"/>
    <mergeCell ref="D47:E47"/>
    <mergeCell ref="D49:E49"/>
    <mergeCell ref="F55:G55"/>
    <mergeCell ref="D48:E48"/>
    <mergeCell ref="D45:E45"/>
    <mergeCell ref="C24:D24"/>
    <mergeCell ref="C19:D19"/>
    <mergeCell ref="C20:D20"/>
    <mergeCell ref="C21:D21"/>
    <mergeCell ref="C22:D22"/>
    <mergeCell ref="C23:D23"/>
    <mergeCell ref="B15:C16"/>
    <mergeCell ref="E13:F13"/>
    <mergeCell ref="G5:I5"/>
    <mergeCell ref="E5:F5"/>
    <mergeCell ref="E7:G7"/>
    <mergeCell ref="H7:I7"/>
    <mergeCell ref="E11:G11"/>
    <mergeCell ref="H11:I11"/>
  </mergeCells>
  <hyperlinks>
    <hyperlink ref="C23" r:id="rId1" display="info@euroleasing.cz"/>
    <hyperlink ref="B15" r:id="rId2" display="www.euroleasing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4">
      <selection activeCell="F11" sqref="F11"/>
    </sheetView>
  </sheetViews>
  <sheetFormatPr defaultColWidth="9.00390625" defaultRowHeight="12.75"/>
  <cols>
    <col min="1" max="1" width="1.875" style="2" customWidth="1"/>
    <col min="2" max="2" width="1.75390625" style="1" customWidth="1"/>
    <col min="3" max="7" width="16.75390625" style="0" customWidth="1"/>
    <col min="8" max="8" width="1.37890625" style="0" customWidth="1"/>
    <col min="9" max="22" width="9.125" style="2" customWidth="1"/>
  </cols>
  <sheetData>
    <row r="1" spans="1:22" s="6" customFormat="1" ht="4.5" customHeight="1">
      <c r="A1" s="5"/>
      <c r="B1" s="20"/>
      <c r="C1" s="3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3" customFormat="1" ht="12.75" customHeight="1">
      <c r="A2" s="12"/>
      <c r="B2" s="26" t="str">
        <f>IF(Zadání!C196=1," pobočka Praha 2",IF(Zadání!C196=2," pobočka Rakovník",Zadání!C19))</f>
        <v> pobočka Rakovník</v>
      </c>
      <c r="C2" s="24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3" customFormat="1" ht="12.75" customHeight="1">
      <c r="A3" s="12"/>
      <c r="B3" s="27" t="str">
        <f>IF(Zadání!C196=1," Sekaninova 52, PSČ: 128 00",IF(Zadání!C196=2," Vysoká 273, PSČ: 269 01",Zadání!C20))</f>
        <v> Vysoká 273, PSČ: 269 01</v>
      </c>
      <c r="C3" s="24"/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3" customFormat="1" ht="12.75" customHeight="1">
      <c r="A4" s="12"/>
      <c r="B4" s="27" t="str">
        <f>IF(Zadání!C196=1," tel.: 224 936 262-3",IF(Zadání!C196=2," tel.: 313 515 743",Zadání!C21))</f>
        <v> tel.: 313 515 743</v>
      </c>
      <c r="C4" s="24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3" customFormat="1" ht="12.75" customHeight="1">
      <c r="A5" s="12"/>
      <c r="B5" s="27" t="str">
        <f>IF(Zadání!C196=1," fax: 261 220 074",IF(Zadání!C196=2," fax: 313 516 260",Zadání!C22))</f>
        <v> fax: 313 516 260</v>
      </c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3" customFormat="1" ht="12.75" customHeight="1">
      <c r="A6" s="12"/>
      <c r="B6" s="27" t="str">
        <f>IF(Zadání!C196=1," e-mail: praha@euroleasing.cz",IF(Zadání!C196=2," e-mail: rakovník@euroleasing.cz",Zadání!C23))</f>
        <v> e-mail: rakovník@euroleasing.cz</v>
      </c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3" customFormat="1" ht="12.75" customHeight="1">
      <c r="A7" s="12"/>
      <c r="B7" s="27" t="str">
        <f>IF(Zadání!C196=1," vyřizuje: D. Michalíčková, 608 345 109",IF(Zadání!C196=2," vyřizuje: J.Komínková, 608 345 108",Zadání!C24))</f>
        <v> vyřizuje: J.Komínková, 608 345 108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3" customFormat="1" ht="28.5" customHeight="1">
      <c r="A8" s="12"/>
      <c r="B8" s="28"/>
      <c r="C8" s="25"/>
      <c r="D8" s="25"/>
      <c r="E8" s="25"/>
      <c r="F8" s="25"/>
      <c r="G8" s="25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6" customFormat="1" ht="57.75" customHeight="1">
      <c r="A9" s="5"/>
      <c r="B9" s="305" t="s">
        <v>131</v>
      </c>
      <c r="C9" s="306"/>
      <c r="D9" s="306"/>
      <c r="E9" s="306"/>
      <c r="F9" s="306"/>
      <c r="G9" s="306"/>
      <c r="H9" s="306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51.75" customHeight="1">
      <c r="A10" s="5"/>
      <c r="B10" s="4"/>
      <c r="C10" s="4"/>
      <c r="D10" s="4"/>
      <c r="E10" s="4"/>
      <c r="F10" s="4"/>
      <c r="G10" s="30"/>
      <c r="H10" s="4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225" customFormat="1" ht="15.75" customHeight="1">
      <c r="A11" s="222"/>
      <c r="B11" s="223"/>
      <c r="C11" s="171" t="s">
        <v>124</v>
      </c>
      <c r="D11" s="211"/>
      <c r="E11" s="224">
        <f>Zadání!C5</f>
        <v>100000</v>
      </c>
      <c r="G11" s="226"/>
      <c r="H11" s="223"/>
      <c r="I11" s="227"/>
      <c r="J11" s="227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</row>
    <row r="12" spans="1:22" s="225" customFormat="1" ht="15.75" customHeight="1">
      <c r="A12" s="222"/>
      <c r="B12" s="223"/>
      <c r="C12" s="175" t="s">
        <v>125</v>
      </c>
      <c r="D12" s="212"/>
      <c r="E12" s="228">
        <f>(Zadání!C7+1)*E11</f>
        <v>120000</v>
      </c>
      <c r="F12" s="229"/>
      <c r="G12" s="230"/>
      <c r="H12" s="223"/>
      <c r="I12" s="227"/>
      <c r="J12" s="227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</row>
    <row r="13" spans="1:22" s="225" customFormat="1" ht="45" customHeight="1">
      <c r="A13" s="222"/>
      <c r="B13" s="223"/>
      <c r="C13" s="266" t="s">
        <v>35</v>
      </c>
      <c r="D13" s="33"/>
      <c r="E13" s="33"/>
      <c r="F13" s="33"/>
      <c r="G13" s="33"/>
      <c r="H13" s="223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</row>
    <row r="14" spans="1:22" s="233" customFormat="1" ht="12.75" customHeight="1">
      <c r="A14" s="231"/>
      <c r="B14" s="232"/>
      <c r="C14" s="302" t="s">
        <v>73</v>
      </c>
      <c r="D14" s="303"/>
      <c r="E14" s="303"/>
      <c r="F14" s="302" t="s">
        <v>135</v>
      </c>
      <c r="G14" s="304"/>
      <c r="H14" s="232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</row>
    <row r="15" spans="1:22" s="233" customFormat="1" ht="12.75" customHeight="1">
      <c r="A15" s="231"/>
      <c r="B15" s="232"/>
      <c r="C15" s="39" t="s">
        <v>0</v>
      </c>
      <c r="D15" s="39" t="s">
        <v>67</v>
      </c>
      <c r="E15" s="41" t="s">
        <v>132</v>
      </c>
      <c r="F15" s="39" t="s">
        <v>67</v>
      </c>
      <c r="G15" s="41" t="s">
        <v>132</v>
      </c>
      <c r="H15" s="232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:22" s="237" customFormat="1" ht="12.75" customHeight="1">
      <c r="A16" s="234"/>
      <c r="B16" s="235"/>
      <c r="C16" s="236">
        <v>0.2</v>
      </c>
      <c r="D16" s="213">
        <f>$E$11*C16</f>
        <v>20000</v>
      </c>
      <c r="E16" s="214">
        <f>D16*(1+Zadání!$C$7)</f>
        <v>24000</v>
      </c>
      <c r="F16" s="213">
        <f>IF(Zadání!$C$27=1,PMT(Zadání!$C$52/12,60,-(($E$11-D16)+($E$11*Zadání!$G$53)),,1),PMT(Zadání!$E$52/12,60,-(($E$11-D16)+($E$11*Zadání!$G$53)),,1))</f>
        <v>1895.1945604097991</v>
      </c>
      <c r="G16" s="215">
        <f>F16*(1+Zadání!$C$7)</f>
        <v>2274.2334724917587</v>
      </c>
      <c r="H16" s="235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s="237" customFormat="1" ht="12.75" customHeight="1">
      <c r="A17" s="234"/>
      <c r="B17" s="235"/>
      <c r="C17" s="238">
        <v>0.25</v>
      </c>
      <c r="D17" s="216">
        <f>$E$11*C17</f>
        <v>25000</v>
      </c>
      <c r="E17" s="217">
        <f>D17*(1+Zadání!$C$7)</f>
        <v>30000</v>
      </c>
      <c r="F17" s="216">
        <f>IF(Zadání!$C$27=1,PMT(Zadání!$C$52/12,60,-(($E$11-D17)+($E$11*Zadání!$G$53)),,1),PMT(Zadání!$E$52/12,60,-(($E$11-D17)+($E$11*Zadání!$G$53)),,1))</f>
        <v>1786.2753328000404</v>
      </c>
      <c r="G17" s="218">
        <f>F17*(1+Zadání!$C$7)</f>
        <v>2143.5303993600482</v>
      </c>
      <c r="H17" s="235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s="237" customFormat="1" ht="12.75" customHeight="1">
      <c r="A18" s="234"/>
      <c r="B18" s="235"/>
      <c r="C18" s="238">
        <v>0.3</v>
      </c>
      <c r="D18" s="216">
        <f>$E$11*C18</f>
        <v>30000</v>
      </c>
      <c r="E18" s="217">
        <f>D18*(1+Zadání!$C$7)</f>
        <v>36000</v>
      </c>
      <c r="F18" s="216">
        <f>IF(Zadání!$C$27=1,PMT(Zadání!$C$52/12,60,-(($E$11-D18)+($E$11*Zadání!$G$53)),,1),PMT(Zadání!$E$52/12,60,-(($E$11-D18)+($E$11*Zadání!$G$53)),,1))</f>
        <v>1677.356105190282</v>
      </c>
      <c r="G18" s="218">
        <f>F18*(1+Zadání!$C$7)</f>
        <v>2012.8273262283383</v>
      </c>
      <c r="H18" s="235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s="237" customFormat="1" ht="12.75" customHeight="1">
      <c r="A19" s="234"/>
      <c r="B19" s="235"/>
      <c r="C19" s="239">
        <v>0.4</v>
      </c>
      <c r="D19" s="219">
        <f>$E$11*C19</f>
        <v>40000</v>
      </c>
      <c r="E19" s="220">
        <f>D19*(1+Zadání!$C$7)</f>
        <v>48000</v>
      </c>
      <c r="F19" s="219">
        <f>IF(Zadání!$C$27=1,PMT(Zadání!$C$52/12,60,-(($E$11-D19)+($E$11*Zadání!$G$53)),,1),PMT(Zadání!$E$52/12,60,-(($E$11-D19)+($E$11*Zadání!$G$53)),,1))</f>
        <v>1459.517649970765</v>
      </c>
      <c r="G19" s="221">
        <f>F19*(1+Zadání!$C$7)</f>
        <v>1751.4211799649179</v>
      </c>
      <c r="H19" s="235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s="225" customFormat="1" ht="39.75" customHeight="1">
      <c r="A20" s="222"/>
      <c r="B20" s="223"/>
      <c r="C20" s="266" t="s">
        <v>1</v>
      </c>
      <c r="D20" s="33"/>
      <c r="E20" s="33"/>
      <c r="F20" s="33"/>
      <c r="G20" s="33"/>
      <c r="H20" s="223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</row>
    <row r="21" spans="1:22" s="233" customFormat="1" ht="12.75" customHeight="1">
      <c r="A21" s="231"/>
      <c r="B21" s="232"/>
      <c r="C21" s="302" t="s">
        <v>73</v>
      </c>
      <c r="D21" s="303"/>
      <c r="E21" s="303"/>
      <c r="F21" s="302" t="s">
        <v>135</v>
      </c>
      <c r="G21" s="304"/>
      <c r="H21" s="232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2" s="233" customFormat="1" ht="12.75" customHeight="1">
      <c r="A22" s="231"/>
      <c r="B22" s="232"/>
      <c r="C22" s="39" t="s">
        <v>0</v>
      </c>
      <c r="D22" s="39" t="s">
        <v>67</v>
      </c>
      <c r="E22" s="41" t="s">
        <v>132</v>
      </c>
      <c r="F22" s="39" t="s">
        <v>67</v>
      </c>
      <c r="G22" s="41" t="s">
        <v>132</v>
      </c>
      <c r="H22" s="232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</row>
    <row r="23" spans="1:22" s="237" customFormat="1" ht="12.75" customHeight="1">
      <c r="A23" s="234"/>
      <c r="B23" s="235"/>
      <c r="C23" s="236">
        <v>0.2</v>
      </c>
      <c r="D23" s="213">
        <f>$E$11*C23</f>
        <v>20000</v>
      </c>
      <c r="E23" s="214">
        <f>D23*(1+Zadání!$C$7)</f>
        <v>24000</v>
      </c>
      <c r="F23" s="213">
        <f>IF(Zadání!$C$27=1,PMT(Zadání!$C$52/12,48,-(($E$11-D23)+($E$11*Zadání!$G$53)),,1),PMT(Zadání!$E$52/12,48,-(($E$11-D23)+($E$11*Zadání!$G$53)),,1))</f>
        <v>2248.19853881264</v>
      </c>
      <c r="G23" s="215">
        <f>F23*(1+Zadání!$C$7)</f>
        <v>2697.838246575168</v>
      </c>
      <c r="H23" s="235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s="237" customFormat="1" ht="12.75" customHeight="1">
      <c r="A24" s="234"/>
      <c r="B24" s="235"/>
      <c r="C24" s="238">
        <v>0.25</v>
      </c>
      <c r="D24" s="216">
        <f>$E$11*C24</f>
        <v>25000</v>
      </c>
      <c r="E24" s="217">
        <f>D24*(1+Zadání!$C$7)</f>
        <v>30000</v>
      </c>
      <c r="F24" s="216">
        <f>IF(Zadání!$C$27=1,PMT(Zadání!$C$52/12,48,-(($E$11-D24)+($E$11*Zadání!$G$53)),,1),PMT(Zadání!$E$52/12,48,-(($E$11-D24)+($E$11*Zadání!$G$53)),,1))</f>
        <v>2118.991726237201</v>
      </c>
      <c r="G24" s="218">
        <f>F24*(1+Zadání!$C$7)</f>
        <v>2542.790071484641</v>
      </c>
      <c r="H24" s="235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s="237" customFormat="1" ht="12.75" customHeight="1">
      <c r="A25" s="234"/>
      <c r="B25" s="235"/>
      <c r="C25" s="238">
        <v>0.3</v>
      </c>
      <c r="D25" s="216">
        <f>$E$11*C25</f>
        <v>30000</v>
      </c>
      <c r="E25" s="217">
        <f>D25*(1+Zadání!$C$7)</f>
        <v>36000</v>
      </c>
      <c r="F25" s="216">
        <f>IF(Zadání!$C$27=1,PMT(Zadání!$C$52/12,48,-(($E$11-D25)+($E$11*Zadání!$G$53)),,1),PMT(Zadání!$E$52/12,48,-(($E$11-D25)+($E$11*Zadání!$G$53)),,1))</f>
        <v>1989.7849136617617</v>
      </c>
      <c r="G25" s="218">
        <f>F25*(1+Zadání!$C$7)</f>
        <v>2387.741896394114</v>
      </c>
      <c r="H25" s="235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s="237" customFormat="1" ht="12.75" customHeight="1">
      <c r="A26" s="234"/>
      <c r="B26" s="235"/>
      <c r="C26" s="239">
        <v>0.4</v>
      </c>
      <c r="D26" s="219">
        <f>$E$11*C26</f>
        <v>40000</v>
      </c>
      <c r="E26" s="220">
        <f>D26*(1+Zadání!$C$7)</f>
        <v>48000</v>
      </c>
      <c r="F26" s="219">
        <f>IF(Zadání!$C$27=1,PMT(Zadání!$C$52/12,48,-(($E$11-D26)+($E$11*Zadání!$G$53)),,1),PMT(Zadání!$E$52/12,48,-(($E$11-D26)+($E$11*Zadání!$G$53)),,1))</f>
        <v>1731.3712885108837</v>
      </c>
      <c r="G26" s="221">
        <f>F26*(1+Zadání!$C$7)</f>
        <v>2077.6455462130602</v>
      </c>
      <c r="H26" s="235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:22" s="225" customFormat="1" ht="39.75" customHeight="1">
      <c r="A27" s="222"/>
      <c r="B27" s="223"/>
      <c r="C27" s="266" t="s">
        <v>2</v>
      </c>
      <c r="D27" s="33"/>
      <c r="E27" s="33"/>
      <c r="F27" s="33"/>
      <c r="G27" s="33"/>
      <c r="H27" s="223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</row>
    <row r="28" spans="1:22" s="233" customFormat="1" ht="12.75" customHeight="1">
      <c r="A28" s="231"/>
      <c r="B28" s="232"/>
      <c r="C28" s="302" t="s">
        <v>73</v>
      </c>
      <c r="D28" s="303"/>
      <c r="E28" s="303"/>
      <c r="F28" s="302" t="s">
        <v>135</v>
      </c>
      <c r="G28" s="304"/>
      <c r="H28" s="232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</row>
    <row r="29" spans="1:22" s="233" customFormat="1" ht="12.75" customHeight="1">
      <c r="A29" s="231"/>
      <c r="B29" s="232"/>
      <c r="C29" s="39" t="s">
        <v>0</v>
      </c>
      <c r="D29" s="39" t="s">
        <v>67</v>
      </c>
      <c r="E29" s="41" t="s">
        <v>132</v>
      </c>
      <c r="F29" s="39" t="s">
        <v>67</v>
      </c>
      <c r="G29" s="41" t="s">
        <v>132</v>
      </c>
      <c r="H29" s="232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</row>
    <row r="30" spans="1:22" s="237" customFormat="1" ht="12.75" customHeight="1">
      <c r="A30" s="234"/>
      <c r="B30" s="235"/>
      <c r="C30" s="236">
        <v>0.2</v>
      </c>
      <c r="D30" s="213">
        <f>$E$11*C30</f>
        <v>20000</v>
      </c>
      <c r="E30" s="214">
        <f>D30*(1+Zadání!$C$7)</f>
        <v>24000</v>
      </c>
      <c r="F30" s="213">
        <f>IF(Zadání!$C$27=1,PMT(Zadání!$C$52/12,36,-(($E$11-D30)+($E$11*Zadání!$G$53)),,1),PMT(Zadání!$E$52/12,36,-(($E$11-D30)+($E$11*Zadání!$G$53)),,1))</f>
        <v>2841.679794954141</v>
      </c>
      <c r="G30" s="215">
        <f>F30*(1+Zadání!$C$7)</f>
        <v>3410.015753944969</v>
      </c>
      <c r="H30" s="235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s="237" customFormat="1" ht="12.75" customHeight="1">
      <c r="A31" s="234"/>
      <c r="B31" s="235"/>
      <c r="C31" s="238">
        <v>0.25</v>
      </c>
      <c r="D31" s="216">
        <f>$E$11*C31</f>
        <v>25000</v>
      </c>
      <c r="E31" s="217">
        <f>D31*(1+Zadání!$C$7)</f>
        <v>30000</v>
      </c>
      <c r="F31" s="216">
        <f>IF(Zadání!$C$27=1,PMT(Zadání!$C$52/12,36,-(($E$11-D31)+($E$11*Zadání!$G$53)),,1),PMT(Zadání!$E$52/12,36,-(($E$11-D31)+($E$11*Zadání!$G$53)),,1))</f>
        <v>2678.36486420965</v>
      </c>
      <c r="G31" s="218">
        <f>F31*(1+Zadání!$C$7)</f>
        <v>3214.03783705158</v>
      </c>
      <c r="H31" s="235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s="237" customFormat="1" ht="12.75" customHeight="1">
      <c r="A32" s="234"/>
      <c r="B32" s="235"/>
      <c r="C32" s="238">
        <v>0.3</v>
      </c>
      <c r="D32" s="216">
        <f>$E$11*C32</f>
        <v>30000</v>
      </c>
      <c r="E32" s="217">
        <f>D32*(1+Zadání!$C$7)</f>
        <v>36000</v>
      </c>
      <c r="F32" s="216">
        <f>IF(Zadání!$C$27=1,PMT(Zadání!$C$52/12,36,-(($E$11-D32)+($E$11*Zadání!$G$53)),,1),PMT(Zadání!$E$52/12,36,-(($E$11-D32)+($E$11*Zadání!$G$53)),,1))</f>
        <v>2515.049933465159</v>
      </c>
      <c r="G32" s="218">
        <f>F32*(1+Zadání!$C$7)</f>
        <v>3018.059920158191</v>
      </c>
      <c r="H32" s="235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s="237" customFormat="1" ht="12.75" customHeight="1">
      <c r="A33" s="234"/>
      <c r="B33" s="235"/>
      <c r="C33" s="239">
        <v>0.4</v>
      </c>
      <c r="D33" s="219">
        <f>$E$11*C33</f>
        <v>40000</v>
      </c>
      <c r="E33" s="220">
        <f>D33*(1+Zadání!$C$7)</f>
        <v>48000</v>
      </c>
      <c r="F33" s="219">
        <f>IF(Zadání!$C$27=1,PMT(Zadání!$C$52/12,36,-(($E$11-D33)+($E$11*Zadání!$G$53)),,1),PMT(Zadání!$E$52/12,36,-(($E$11-D33)+($E$11*Zadání!$G$53)),,1))</f>
        <v>2188.4200719761775</v>
      </c>
      <c r="G33" s="221">
        <f>F33*(1+Zadání!$C$7)</f>
        <v>2626.104086371413</v>
      </c>
      <c r="H33" s="235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s="225" customFormat="1" ht="39.75" customHeight="1">
      <c r="A34" s="222"/>
      <c r="B34" s="223"/>
      <c r="C34" s="266" t="s">
        <v>3</v>
      </c>
      <c r="D34" s="33"/>
      <c r="E34" s="33"/>
      <c r="F34" s="33"/>
      <c r="G34" s="33"/>
      <c r="H34" s="223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</row>
    <row r="35" spans="1:22" s="233" customFormat="1" ht="12.75" customHeight="1">
      <c r="A35" s="231"/>
      <c r="B35" s="232"/>
      <c r="C35" s="302" t="s">
        <v>73</v>
      </c>
      <c r="D35" s="303"/>
      <c r="E35" s="303"/>
      <c r="F35" s="302" t="s">
        <v>135</v>
      </c>
      <c r="G35" s="304"/>
      <c r="H35" s="232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</row>
    <row r="36" spans="1:22" s="233" customFormat="1" ht="12.75" customHeight="1">
      <c r="A36" s="231"/>
      <c r="B36" s="232"/>
      <c r="C36" s="39" t="s">
        <v>0</v>
      </c>
      <c r="D36" s="39" t="s">
        <v>67</v>
      </c>
      <c r="E36" s="41" t="s">
        <v>132</v>
      </c>
      <c r="F36" s="39" t="s">
        <v>67</v>
      </c>
      <c r="G36" s="41" t="s">
        <v>132</v>
      </c>
      <c r="H36" s="232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</row>
    <row r="37" spans="1:22" s="237" customFormat="1" ht="12.75" customHeight="1">
      <c r="A37" s="234"/>
      <c r="B37" s="235"/>
      <c r="C37" s="236">
        <v>0.2</v>
      </c>
      <c r="D37" s="213">
        <f>$E$11*C37</f>
        <v>20000</v>
      </c>
      <c r="E37" s="214">
        <f>D37*(1+Zadání!$C$7)</f>
        <v>24000</v>
      </c>
      <c r="F37" s="213">
        <f>IF(Zadání!$C$27=1,PMT(Zadání!$C$52/12,24,-(($E$11-D37)+($E$11*Zadání!$G$53)),,1),PMT(Zadání!$E$52/12,24,-(($E$11-D37)+($E$11*Zadání!$G$53)),,1))</f>
        <v>4036.4250245003113</v>
      </c>
      <c r="G37" s="215">
        <f>F37*(1+Zadání!$C$7)</f>
        <v>4843.710029400373</v>
      </c>
      <c r="H37" s="235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s="237" customFormat="1" ht="12.75" customHeight="1">
      <c r="A38" s="234"/>
      <c r="B38" s="235"/>
      <c r="C38" s="238">
        <v>0.25</v>
      </c>
      <c r="D38" s="216">
        <f>$E$11*C38</f>
        <v>25000</v>
      </c>
      <c r="E38" s="217">
        <f>D38*(1+Zadání!$C$7)</f>
        <v>30000</v>
      </c>
      <c r="F38" s="216">
        <f>IF(Zadání!$C$27=1,PMT(Zadání!$C$52/12,24,-(($E$11-D38)+($E$11*Zadání!$G$53)),,1),PMT(Zadání!$E$52/12,24,-(($E$11-D38)+($E$11*Zadání!$G$53)),,1))</f>
        <v>3804.4465748163852</v>
      </c>
      <c r="G38" s="218">
        <f>F38*(1+Zadání!$C$7)</f>
        <v>4565.3358897796625</v>
      </c>
      <c r="H38" s="235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s="237" customFormat="1" ht="12.75" customHeight="1">
      <c r="A39" s="234"/>
      <c r="B39" s="235"/>
      <c r="C39" s="238">
        <v>0.3</v>
      </c>
      <c r="D39" s="216">
        <f>$E$11*C39</f>
        <v>30000</v>
      </c>
      <c r="E39" s="217">
        <f>D39*(1+Zadání!$C$7)</f>
        <v>36000</v>
      </c>
      <c r="F39" s="216">
        <f>IF(Zadání!$C$27=1,PMT(Zadání!$C$52/12,24,-(($E$11-D39)+($E$11*Zadání!$G$53)),,1),PMT(Zadání!$E$52/12,24,-(($E$11-D39)+($E$11*Zadání!$G$53)),,1))</f>
        <v>3572.4681251324596</v>
      </c>
      <c r="G39" s="218">
        <f>F39*(1+Zadání!$C$7)</f>
        <v>4286.961750158951</v>
      </c>
      <c r="H39" s="235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s="237" customFormat="1" ht="12.75" customHeight="1">
      <c r="A40" s="234"/>
      <c r="B40" s="235"/>
      <c r="C40" s="239">
        <v>0.4</v>
      </c>
      <c r="D40" s="219">
        <f>$E$11*C40</f>
        <v>40000</v>
      </c>
      <c r="E40" s="220">
        <f>D40*(1+Zadání!$C$7)</f>
        <v>48000</v>
      </c>
      <c r="F40" s="219">
        <f>IF(Zadání!$C$27=1,PMT(Zadání!$C$52/12,24,-(($E$11-D40)+($E$11*Zadání!$G$53)),,1),PMT(Zadání!$E$52/12,24,-(($E$11-D40)+($E$11*Zadání!$G$53)),,1))</f>
        <v>3108.5112257646074</v>
      </c>
      <c r="G40" s="221">
        <f>F40*(1+Zadání!$C$7)</f>
        <v>3730.213470917529</v>
      </c>
      <c r="H40" s="235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s="225" customFormat="1" ht="36.75" customHeight="1">
      <c r="A41" s="222"/>
      <c r="B41" s="223"/>
      <c r="C41" s="223"/>
      <c r="D41" s="223"/>
      <c r="E41" s="223"/>
      <c r="F41" s="223"/>
      <c r="G41" s="223"/>
      <c r="H41" s="223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</row>
    <row r="42" spans="1:22" s="205" customFormat="1" ht="9.75" customHeight="1">
      <c r="A42" s="203"/>
      <c r="B42" s="195" t="s">
        <v>4</v>
      </c>
      <c r="D42" s="168"/>
      <c r="E42" s="168"/>
      <c r="F42" s="168"/>
      <c r="G42" s="168"/>
      <c r="H42" s="168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s="210" customFormat="1" ht="2.25" customHeight="1" thickBot="1">
      <c r="A43" s="204"/>
      <c r="B43" s="209"/>
      <c r="C43" s="209"/>
      <c r="D43" s="209"/>
      <c r="E43" s="209"/>
      <c r="F43" s="209"/>
      <c r="G43" s="209"/>
      <c r="H43" s="209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</row>
    <row r="44" spans="1:22" s="205" customFormat="1" ht="12" customHeight="1">
      <c r="A44" s="203"/>
      <c r="B44" s="195"/>
      <c r="C44" s="195" t="str">
        <f>Zadání!B207</f>
        <v>EUROLEASING 1/2011</v>
      </c>
      <c r="D44" s="168"/>
      <c r="E44" s="168"/>
      <c r="F44" s="168"/>
      <c r="G44" s="301">
        <f ca="1">NOW()</f>
        <v>41191.54051909722</v>
      </c>
      <c r="H44" s="301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s="6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17" customFormat="1" ht="15" customHeight="1">
      <c r="A46" s="16"/>
      <c r="B46" s="16"/>
      <c r="C46" s="16"/>
      <c r="D46" s="66"/>
      <c r="E46" s="66"/>
      <c r="F46" s="66"/>
      <c r="G46" s="6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" customHeight="1">
      <c r="A48" s="16"/>
      <c r="B48" s="16"/>
      <c r="C48" s="19"/>
      <c r="D48" s="16"/>
      <c r="E48" s="69"/>
      <c r="F48" s="6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" customHeight="1">
      <c r="A49" s="16"/>
      <c r="B49" s="16"/>
      <c r="C49" s="16"/>
      <c r="D49" s="65"/>
      <c r="E49" s="65"/>
      <c r="F49" s="65"/>
      <c r="G49" s="6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" customHeight="1">
      <c r="A50" s="16"/>
      <c r="B50" s="16"/>
      <c r="C50" s="16"/>
      <c r="D50" s="66"/>
      <c r="E50" s="66"/>
      <c r="F50" s="66"/>
      <c r="G50" s="6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15" customHeight="1">
      <c r="A51" s="16"/>
      <c r="B51" s="16"/>
      <c r="C51" s="16"/>
      <c r="D51" s="67"/>
      <c r="E51" s="67"/>
      <c r="F51" s="67"/>
      <c r="G51" s="6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" customHeight="1">
      <c r="A52" s="16"/>
      <c r="B52" s="16"/>
      <c r="C52" s="16"/>
      <c r="D52" s="67"/>
      <c r="E52" s="67"/>
      <c r="F52" s="67"/>
      <c r="G52" s="6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" customHeight="1">
      <c r="A53" s="16"/>
      <c r="B53" s="16"/>
      <c r="C53" s="16"/>
      <c r="D53" s="67"/>
      <c r="E53" s="67"/>
      <c r="F53" s="67"/>
      <c r="G53" s="6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" customHeight="1">
      <c r="A54" s="16"/>
      <c r="B54" s="16"/>
      <c r="C54" s="16"/>
      <c r="D54" s="67"/>
      <c r="E54" s="67"/>
      <c r="F54" s="67"/>
      <c r="G54" s="6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5" customHeight="1">
      <c r="A55" s="16"/>
      <c r="B55" s="16"/>
      <c r="C55" s="16"/>
      <c r="D55" s="67"/>
      <c r="E55" s="67"/>
      <c r="F55" s="67"/>
      <c r="G55" s="6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" customHeight="1">
      <c r="A56" s="16"/>
      <c r="B56" s="16"/>
      <c r="C56" s="16"/>
      <c r="D56" s="67"/>
      <c r="E56" s="67"/>
      <c r="F56" s="67"/>
      <c r="G56" s="6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8" customFormat="1" ht="15" customHeight="1">
      <c r="A57" s="19"/>
      <c r="B57" s="19"/>
      <c r="C57" s="19"/>
      <c r="D57" s="68"/>
      <c r="E57" s="68"/>
      <c r="F57" s="68"/>
      <c r="G57" s="6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6" customFormat="1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7" customFormat="1" ht="15" customHeight="1">
      <c r="A60" s="16"/>
      <c r="B60" s="16"/>
      <c r="C60" s="19"/>
      <c r="D60" s="16"/>
      <c r="E60" s="69"/>
      <c r="F60" s="6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5" customHeight="1">
      <c r="A61" s="16"/>
      <c r="B61" s="16"/>
      <c r="C61" s="16"/>
      <c r="D61" s="65"/>
      <c r="E61" s="65"/>
      <c r="F61" s="65"/>
      <c r="G61" s="6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" customHeight="1">
      <c r="A62" s="16"/>
      <c r="B62" s="16"/>
      <c r="C62" s="16"/>
      <c r="D62" s="66"/>
      <c r="E62" s="66"/>
      <c r="F62" s="66"/>
      <c r="G62" s="6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" customHeight="1">
      <c r="A63" s="16"/>
      <c r="B63" s="16"/>
      <c r="C63" s="16"/>
      <c r="D63" s="67"/>
      <c r="E63" s="67"/>
      <c r="F63" s="67"/>
      <c r="G63" s="6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" customHeight="1">
      <c r="A64" s="16"/>
      <c r="B64" s="16"/>
      <c r="C64" s="16"/>
      <c r="D64" s="67"/>
      <c r="E64" s="67"/>
      <c r="F64" s="67"/>
      <c r="G64" s="6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5" customHeight="1">
      <c r="A65" s="16"/>
      <c r="B65" s="16"/>
      <c r="C65" s="16"/>
      <c r="D65" s="67"/>
      <c r="E65" s="67"/>
      <c r="F65" s="67"/>
      <c r="G65" s="6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" customHeight="1">
      <c r="A66" s="16"/>
      <c r="B66" s="16"/>
      <c r="C66" s="16"/>
      <c r="D66" s="67"/>
      <c r="E66" s="67"/>
      <c r="F66" s="67"/>
      <c r="G66" s="6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15" customHeight="1">
      <c r="A67" s="16"/>
      <c r="B67" s="16"/>
      <c r="C67" s="16"/>
      <c r="D67" s="67"/>
      <c r="E67" s="67"/>
      <c r="F67" s="67"/>
      <c r="G67" s="6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" customHeight="1">
      <c r="A68" s="16"/>
      <c r="B68" s="16"/>
      <c r="C68" s="16"/>
      <c r="D68" s="67"/>
      <c r="E68" s="67"/>
      <c r="F68" s="67"/>
      <c r="G68" s="6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8" customFormat="1" ht="15" customHeight="1">
      <c r="A69" s="19"/>
      <c r="B69" s="19"/>
      <c r="C69" s="19"/>
      <c r="D69" s="68"/>
      <c r="E69" s="68"/>
      <c r="F69" s="68"/>
      <c r="G69" s="6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6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6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7" customFormat="1" ht="15" customHeight="1">
      <c r="A72" s="16"/>
      <c r="B72" s="16"/>
      <c r="C72" s="19"/>
      <c r="D72" s="16"/>
      <c r="E72" s="69"/>
      <c r="F72" s="6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" customHeight="1">
      <c r="A73" s="16"/>
      <c r="B73" s="16"/>
      <c r="C73" s="16"/>
      <c r="D73" s="65"/>
      <c r="E73" s="65"/>
      <c r="F73" s="65"/>
      <c r="G73" s="6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" customHeight="1">
      <c r="A74" s="16"/>
      <c r="B74" s="16"/>
      <c r="C74" s="16"/>
      <c r="D74" s="66"/>
      <c r="E74" s="66"/>
      <c r="F74" s="66"/>
      <c r="G74" s="6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" customHeight="1">
      <c r="A75" s="16"/>
      <c r="B75" s="16"/>
      <c r="C75" s="16"/>
      <c r="D75" s="67"/>
      <c r="E75" s="67"/>
      <c r="F75" s="67"/>
      <c r="G75" s="6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" customHeight="1">
      <c r="A76" s="16"/>
      <c r="B76" s="16"/>
      <c r="C76" s="16"/>
      <c r="D76" s="67"/>
      <c r="E76" s="67"/>
      <c r="F76" s="67"/>
      <c r="G76" s="6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" customHeight="1">
      <c r="A77" s="16"/>
      <c r="B77" s="16"/>
      <c r="C77" s="16"/>
      <c r="D77" s="67"/>
      <c r="E77" s="67"/>
      <c r="F77" s="67"/>
      <c r="G77" s="6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" customHeight="1">
      <c r="A78" s="16"/>
      <c r="B78" s="16"/>
      <c r="C78" s="16"/>
      <c r="D78" s="67"/>
      <c r="E78" s="67"/>
      <c r="F78" s="67"/>
      <c r="G78" s="6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15" customHeight="1">
      <c r="A79" s="16"/>
      <c r="B79" s="16"/>
      <c r="C79" s="16"/>
      <c r="D79" s="67"/>
      <c r="E79" s="67"/>
      <c r="F79" s="67"/>
      <c r="G79" s="6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" customHeight="1">
      <c r="A80" s="16"/>
      <c r="B80" s="16"/>
      <c r="C80" s="16"/>
      <c r="D80" s="67"/>
      <c r="E80" s="67"/>
      <c r="F80" s="67"/>
      <c r="G80" s="6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8" customFormat="1" ht="15" customHeight="1">
      <c r="A81" s="19"/>
      <c r="B81" s="19"/>
      <c r="C81" s="19"/>
      <c r="D81" s="68"/>
      <c r="E81" s="68"/>
      <c r="F81" s="68"/>
      <c r="G81" s="6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6" customFormat="1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6" customFormat="1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6" customFormat="1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="5" customFormat="1" ht="15" customHeight="1"/>
    <row r="86" s="5" customFormat="1" ht="15" customHeight="1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</sheetData>
  <sheetProtection password="DBB2" sheet="1" objects="1" scenarios="1"/>
  <mergeCells count="10">
    <mergeCell ref="B9:H9"/>
    <mergeCell ref="G44:H44"/>
    <mergeCell ref="C14:E14"/>
    <mergeCell ref="F14:G14"/>
    <mergeCell ref="C21:E21"/>
    <mergeCell ref="F21:G21"/>
    <mergeCell ref="C28:E28"/>
    <mergeCell ref="F28:G28"/>
    <mergeCell ref="C35:E35"/>
    <mergeCell ref="F35:G3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4"/>
  <sheetViews>
    <sheetView workbookViewId="0" topLeftCell="A4">
      <selection activeCell="D39" sqref="D39"/>
    </sheetView>
  </sheetViews>
  <sheetFormatPr defaultColWidth="9.00390625" defaultRowHeight="12.75"/>
  <cols>
    <col min="1" max="1" width="1.875" style="2" customWidth="1"/>
    <col min="2" max="2" width="1.875" style="1" customWidth="1"/>
    <col min="3" max="3" width="17.125" style="0" customWidth="1"/>
    <col min="4" max="4" width="21.875" style="0" customWidth="1"/>
    <col min="5" max="5" width="20.75390625" style="0" customWidth="1"/>
    <col min="6" max="6" width="10.00390625" style="0" customWidth="1"/>
    <col min="7" max="7" width="8.00390625" style="0" customWidth="1"/>
    <col min="8" max="8" width="6.125" style="0" customWidth="1"/>
    <col min="9" max="9" width="1.00390625" style="0" customWidth="1"/>
    <col min="10" max="23" width="9.125" style="2" customWidth="1"/>
  </cols>
  <sheetData>
    <row r="1" spans="1:23" s="13" customFormat="1" ht="12.75" customHeight="1">
      <c r="A1" s="12"/>
      <c r="B1" s="207" t="str">
        <f>IF(Zadání!C196=1," pobočka Praha 2",IF(Zadání!C196=2," pobočka Rakovník",Zadání!C19))</f>
        <v> pobočka Rakovník</v>
      </c>
      <c r="C1" s="208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3" customFormat="1" ht="12.75" customHeight="1">
      <c r="A2" s="12"/>
      <c r="B2" s="170" t="str">
        <f>IF(Zadání!C196=1," Sekaninova 52, PSČ: 128 00",IF(Zadání!C196=2," Vysoká 273, PSČ: 269 01",Zadání!C20))</f>
        <v> Vysoká 273, PSČ: 269 01</v>
      </c>
      <c r="C2" s="208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12.75" customHeight="1">
      <c r="A3" s="12"/>
      <c r="B3" s="170" t="str">
        <f>IF(Zadání!C196=1," tel.: 224 936 262-3",IF(Zadání!C196=2," tel.: 313 515 742-3",Zadání!C21))</f>
        <v> tel.: 313 515 742-3</v>
      </c>
      <c r="C3" s="208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12.75" customHeight="1">
      <c r="A4" s="12"/>
      <c r="B4" s="170" t="str">
        <f>IF(Zadání!C196=1," fax: 261 220 074",IF(Zadání!C196=2," fax: 313 516 260",Zadání!C22))</f>
        <v> fax: 313 516 260</v>
      </c>
      <c r="C4" s="169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2.75" customHeight="1">
      <c r="A5" s="12"/>
      <c r="B5" s="170" t="str">
        <f>IF(Zadání!C196=1," e-mail: praha@euroleasing.cz",IF(Zadání!C196=2," e-mail: rakovník@euroleasing.cz",Zadání!C23))</f>
        <v> e-mail: rakovník@euroleasing.cz</v>
      </c>
      <c r="C5" s="169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 ht="12.75" customHeight="1">
      <c r="A6" s="12"/>
      <c r="B6" s="170" t="str">
        <f>IF(Zadání!C196=1," vyřizuje: Dagmar Michalíčková, 608 345 109",IF(Zadání!C196=2," vyřizuje: J.Komínková, 608 345 108",Zadání!C24))</f>
        <v> vyřizuje: J.Komínková, 608 345 108</v>
      </c>
      <c r="C6" s="169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 ht="7.5" customHeight="1">
      <c r="A7" s="12"/>
      <c r="B7" s="28"/>
      <c r="C7" s="25"/>
      <c r="D7" s="25"/>
      <c r="E7" s="25"/>
      <c r="F7" s="25"/>
      <c r="G7" s="25"/>
      <c r="H7" s="25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3" customFormat="1" ht="36" customHeight="1">
      <c r="A8" s="22"/>
      <c r="B8" s="21"/>
      <c r="C8" s="15"/>
      <c r="D8" s="21"/>
      <c r="E8" s="21"/>
      <c r="F8" s="21"/>
      <c r="G8" s="14"/>
      <c r="H8" s="29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6" customFormat="1" ht="54.75" customHeight="1">
      <c r="A9" s="5"/>
      <c r="B9" s="305" t="s">
        <v>130</v>
      </c>
      <c r="C9" s="306"/>
      <c r="D9" s="306"/>
      <c r="E9" s="306"/>
      <c r="F9" s="306"/>
      <c r="G9" s="306"/>
      <c r="H9" s="306"/>
      <c r="I9" s="306"/>
      <c r="J9" s="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40.5" customHeight="1">
      <c r="A10" s="5"/>
      <c r="B10" s="4"/>
      <c r="C10" s="4"/>
      <c r="D10" s="4"/>
      <c r="E10" s="4"/>
      <c r="F10" s="4"/>
      <c r="G10" s="31"/>
      <c r="H10" s="30"/>
      <c r="I10" s="4"/>
      <c r="J10" s="8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48" s="241" customFormat="1" ht="15.75" customHeight="1">
      <c r="A11" s="240"/>
      <c r="C11" s="342" t="s">
        <v>124</v>
      </c>
      <c r="D11" s="343"/>
      <c r="E11" s="255">
        <f>Zadání!C5</f>
        <v>100000</v>
      </c>
      <c r="G11" s="242"/>
      <c r="H11" s="242"/>
      <c r="J11" s="243"/>
      <c r="K11" s="243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</row>
    <row r="12" spans="1:48" s="241" customFormat="1" ht="15.75" customHeight="1">
      <c r="A12" s="240"/>
      <c r="C12" s="344" t="s">
        <v>125</v>
      </c>
      <c r="D12" s="345"/>
      <c r="E12" s="177">
        <f>(Zadání!C7+1)*E11</f>
        <v>120000</v>
      </c>
      <c r="H12" s="244"/>
      <c r="J12" s="243"/>
      <c r="K12" s="243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</row>
    <row r="13" spans="1:48" s="248" customFormat="1" ht="39.75" customHeight="1">
      <c r="A13" s="246"/>
      <c r="B13" s="247"/>
      <c r="C13" s="267" t="s">
        <v>35</v>
      </c>
      <c r="D13" s="247"/>
      <c r="E13" s="247"/>
      <c r="F13" s="247"/>
      <c r="G13" s="247"/>
      <c r="H13" s="247"/>
      <c r="I13" s="247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</row>
    <row r="14" spans="1:23" s="233" customFormat="1" ht="12.75" customHeight="1">
      <c r="A14" s="231"/>
      <c r="B14" s="232"/>
      <c r="C14" s="346" t="s">
        <v>133</v>
      </c>
      <c r="D14" s="347"/>
      <c r="E14" s="297" t="s">
        <v>48</v>
      </c>
      <c r="F14" s="299" t="s">
        <v>134</v>
      </c>
      <c r="G14" s="300"/>
      <c r="H14" s="332"/>
      <c r="I14" s="232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</row>
    <row r="15" spans="1:23" s="233" customFormat="1" ht="12.75" customHeight="1">
      <c r="A15" s="231"/>
      <c r="B15" s="232"/>
      <c r="C15" s="259" t="s">
        <v>0</v>
      </c>
      <c r="D15" s="245" t="s">
        <v>49</v>
      </c>
      <c r="E15" s="298"/>
      <c r="F15" s="333"/>
      <c r="G15" s="334"/>
      <c r="H15" s="335"/>
      <c r="I15" s="232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</row>
    <row r="16" spans="1:23" s="237" customFormat="1" ht="12.75" customHeight="1">
      <c r="A16" s="234"/>
      <c r="B16" s="85"/>
      <c r="C16" s="236">
        <v>0.2</v>
      </c>
      <c r="D16" s="260">
        <f>C16*$E$12</f>
        <v>24000</v>
      </c>
      <c r="E16" s="261">
        <f>$E$12-$E$11</f>
        <v>20000</v>
      </c>
      <c r="F16" s="336">
        <f>IF(Zadání!$C$27=1,PMT(Zadání!$C$52/12,60,-(($E$12-D16)+($E$12*Zadání!$G$53)),,1),(PMT(15%/12,60,-($E$12-D16),,1))+(PMT(20%/12,60,-($E$11*Zadání!$G$53),,1)))</f>
        <v>2274.233472491759</v>
      </c>
      <c r="G16" s="337"/>
      <c r="H16" s="338"/>
      <c r="I16" s="235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s="237" customFormat="1" ht="12.75" customHeight="1">
      <c r="A17" s="234"/>
      <c r="B17" s="235"/>
      <c r="C17" s="238">
        <v>0.3</v>
      </c>
      <c r="D17" s="262">
        <f>C17*$E$12</f>
        <v>36000</v>
      </c>
      <c r="E17" s="263">
        <f>$E$12-$E$11</f>
        <v>20000</v>
      </c>
      <c r="F17" s="339">
        <f>IF(Zadání!$C$27=1,PMT(Zadání!$C$52/12,60,-(($E$12-D17)+($E$12*Zadání!$G$53)),,1),(PMT(15%/12,60,-($E$12-D17),,1))+(PMT(20%/12,60,-($E$11*Zadání!$G$53),,1)))</f>
        <v>2012.8273262283383</v>
      </c>
      <c r="G17" s="340"/>
      <c r="H17" s="341"/>
      <c r="I17" s="235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s="237" customFormat="1" ht="12.75" customHeight="1">
      <c r="A18" s="234"/>
      <c r="B18" s="235"/>
      <c r="C18" s="238">
        <v>0.4</v>
      </c>
      <c r="D18" s="262">
        <f>C18*$E$12</f>
        <v>48000</v>
      </c>
      <c r="E18" s="263">
        <f>$E$12-$E$11</f>
        <v>20000</v>
      </c>
      <c r="F18" s="339">
        <f>IF(Zadání!$C$27=1,PMT(Zadání!$C$52/12,60,-(($E$12-D18)+($E$12*Zadání!$G$53)),,1),(PMT(15%/12,60,-($E$12-D18),,1))+(PMT(20%/12,60,-($E$11*Zadání!$G$53),,1)))</f>
        <v>1751.4211799649177</v>
      </c>
      <c r="G18" s="340"/>
      <c r="H18" s="341"/>
      <c r="I18" s="235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s="237" customFormat="1" ht="12.75" customHeight="1">
      <c r="A19" s="234"/>
      <c r="B19" s="235"/>
      <c r="C19" s="239">
        <v>0.5</v>
      </c>
      <c r="D19" s="264">
        <f>C19*$E$12</f>
        <v>60000</v>
      </c>
      <c r="E19" s="265">
        <f>$E$12-$E$11</f>
        <v>20000</v>
      </c>
      <c r="F19" s="348">
        <f>IF(Zadání!$C$27=1,PMT(Zadání!$C$52/12,60,-(($E$12-D19)+($E$12*Zadání!$G$53)),,1),(PMT(15%/12,60,-($E$12-D19),,1))+(PMT(20%/12,60,-($E$11*Zadání!$G$53),,1)))</f>
        <v>1490.0150337014973</v>
      </c>
      <c r="G19" s="349"/>
      <c r="H19" s="350"/>
      <c r="I19" s="235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s="251" customFormat="1" ht="39.75" customHeight="1">
      <c r="A20" s="249"/>
      <c r="B20" s="250"/>
      <c r="C20" s="268" t="s">
        <v>1</v>
      </c>
      <c r="D20" s="250"/>
      <c r="E20" s="250"/>
      <c r="F20" s="250"/>
      <c r="G20" s="250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</row>
    <row r="21" spans="1:23" s="233" customFormat="1" ht="12.75" customHeight="1">
      <c r="A21" s="231"/>
      <c r="B21" s="232"/>
      <c r="C21" s="346" t="s">
        <v>133</v>
      </c>
      <c r="D21" s="347"/>
      <c r="E21" s="297" t="s">
        <v>48</v>
      </c>
      <c r="F21" s="299" t="s">
        <v>134</v>
      </c>
      <c r="G21" s="300"/>
      <c r="H21" s="332"/>
      <c r="I21" s="232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3" s="233" customFormat="1" ht="12.75" customHeight="1">
      <c r="A22" s="231"/>
      <c r="B22" s="232"/>
      <c r="C22" s="259" t="s">
        <v>0</v>
      </c>
      <c r="D22" s="245" t="s">
        <v>49</v>
      </c>
      <c r="E22" s="298"/>
      <c r="F22" s="333"/>
      <c r="G22" s="334"/>
      <c r="H22" s="335"/>
      <c r="I22" s="232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3" s="237" customFormat="1" ht="12.75" customHeight="1">
      <c r="A23" s="234"/>
      <c r="B23" s="235"/>
      <c r="C23" s="236">
        <v>0.2</v>
      </c>
      <c r="D23" s="260">
        <f>C23*$E$12</f>
        <v>24000</v>
      </c>
      <c r="E23" s="261">
        <f>$E$12-$E$11</f>
        <v>20000</v>
      </c>
      <c r="F23" s="336">
        <f>IF(Zadání!$C$27=1,PMT(Zadání!$C$52/12,48,-(($E$12-D23)+($E$12*Zadání!$G$53)),,1),(PMT(15%/12,48,-($E$12-D23),,1))+(PMT(20%/12,48,-($E$11*Zadání!$G$53),,1)))</f>
        <v>2697.8382465751683</v>
      </c>
      <c r="G23" s="337"/>
      <c r="H23" s="338"/>
      <c r="I23" s="235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</row>
    <row r="24" spans="1:23" s="237" customFormat="1" ht="12.75" customHeight="1">
      <c r="A24" s="234"/>
      <c r="B24" s="235"/>
      <c r="C24" s="238">
        <v>0.3</v>
      </c>
      <c r="D24" s="262">
        <f>C24*$E$12</f>
        <v>36000</v>
      </c>
      <c r="E24" s="263">
        <f>$E$12-$E$11</f>
        <v>20000</v>
      </c>
      <c r="F24" s="339">
        <f>IF(Zadání!$C$27=1,PMT(Zadání!$C$52/12,48,-(($E$12-D24)+($E$12*Zadání!$G$53)),,1),(PMT(15%/12,48,-($E$12-D24),,1))+(PMT(20%/12,48,-($E$11*Zadání!$G$53),,1)))</f>
        <v>2387.741896394114</v>
      </c>
      <c r="G24" s="340"/>
      <c r="H24" s="341"/>
      <c r="I24" s="235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1:23" s="237" customFormat="1" ht="12.75" customHeight="1">
      <c r="A25" s="234"/>
      <c r="B25" s="235"/>
      <c r="C25" s="238">
        <v>0.4</v>
      </c>
      <c r="D25" s="262">
        <f>C25*$E$12</f>
        <v>48000</v>
      </c>
      <c r="E25" s="263">
        <f>$E$12-$E$11</f>
        <v>20000</v>
      </c>
      <c r="F25" s="339">
        <f>IF(Zadání!$C$27=1,PMT(Zadání!$C$52/12,48,-(($E$12-D25)+($E$12*Zadání!$G$53)),,1),(PMT(15%/12,48,-($E$12-D25),,1))+(PMT(20%/12,48,-($E$11*Zadání!$G$53),,1)))</f>
        <v>2077.6455462130602</v>
      </c>
      <c r="G25" s="340"/>
      <c r="H25" s="341"/>
      <c r="I25" s="235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</row>
    <row r="26" spans="1:23" s="237" customFormat="1" ht="12.75" customHeight="1">
      <c r="A26" s="234"/>
      <c r="B26" s="235"/>
      <c r="C26" s="239">
        <v>0.5</v>
      </c>
      <c r="D26" s="264">
        <f>C26*$E$12</f>
        <v>60000</v>
      </c>
      <c r="E26" s="265">
        <f>$E$12-$E$11</f>
        <v>20000</v>
      </c>
      <c r="F26" s="348">
        <f>IF(Zadání!$C$27=1,PMT(Zadání!$C$52/12,48,-(($E$12-D26)+($E$12*Zadání!$G$53)),,1),(PMT(15%/12,48,-($E$12-D26),,1))+(PMT(20%/12,48,-($E$11*Zadání!$G$53),,1)))</f>
        <v>1767.5491960320066</v>
      </c>
      <c r="G26" s="349"/>
      <c r="H26" s="350"/>
      <c r="I26" s="235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</row>
    <row r="27" spans="1:23" s="251" customFormat="1" ht="39.75" customHeight="1">
      <c r="A27" s="249"/>
      <c r="B27" s="250"/>
      <c r="C27" s="268" t="s">
        <v>2</v>
      </c>
      <c r="D27" s="250"/>
      <c r="E27" s="250"/>
      <c r="F27" s="250"/>
      <c r="G27" s="250"/>
      <c r="H27" s="250"/>
      <c r="I27" s="25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pans="1:23" s="233" customFormat="1" ht="12.75" customHeight="1">
      <c r="A28" s="231"/>
      <c r="B28" s="232"/>
      <c r="C28" s="346" t="s">
        <v>133</v>
      </c>
      <c r="D28" s="347"/>
      <c r="E28" s="297" t="s">
        <v>48</v>
      </c>
      <c r="F28" s="299" t="s">
        <v>134</v>
      </c>
      <c r="G28" s="300"/>
      <c r="H28" s="332"/>
      <c r="I28" s="232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</row>
    <row r="29" spans="1:23" s="233" customFormat="1" ht="12.75" customHeight="1">
      <c r="A29" s="231"/>
      <c r="B29" s="232"/>
      <c r="C29" s="259" t="s">
        <v>0</v>
      </c>
      <c r="D29" s="245" t="s">
        <v>49</v>
      </c>
      <c r="E29" s="298"/>
      <c r="F29" s="333"/>
      <c r="G29" s="334"/>
      <c r="H29" s="335"/>
      <c r="I29" s="232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</row>
    <row r="30" spans="1:23" s="237" customFormat="1" ht="12.75" customHeight="1">
      <c r="A30" s="234"/>
      <c r="B30" s="235"/>
      <c r="C30" s="236">
        <v>0.2</v>
      </c>
      <c r="D30" s="260">
        <f>C30*$E$12</f>
        <v>24000</v>
      </c>
      <c r="E30" s="261">
        <f>$E$12-$E$11</f>
        <v>20000</v>
      </c>
      <c r="F30" s="336">
        <f>IF(Zadání!$C$27=1,PMT(Zadání!$C$52/12,36,-(($E$12-D30)+($E$12*Zadání!$G$53)),,1),(PMT(15%/12,36,-($E$12-D30),,1))+(PMT(20%/12,36,-($E$11*Zadání!$G$53),,1)))</f>
        <v>3410.0157539449688</v>
      </c>
      <c r="G30" s="337"/>
      <c r="H30" s="338"/>
      <c r="I30" s="235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</row>
    <row r="31" spans="1:23" s="237" customFormat="1" ht="12.75" customHeight="1">
      <c r="A31" s="234"/>
      <c r="B31" s="235"/>
      <c r="C31" s="238">
        <v>0.3</v>
      </c>
      <c r="D31" s="262">
        <f>C31*$E$12</f>
        <v>36000</v>
      </c>
      <c r="E31" s="263">
        <f>$E$12-$E$11</f>
        <v>20000</v>
      </c>
      <c r="F31" s="339">
        <f>IF(Zadání!$C$27=1,PMT(Zadání!$C$52/12,36,-(($E$12-D31)+($E$12*Zadání!$G$53)),,1),(PMT(15%/12,36,-($E$12-D31),,1))+(PMT(20%/12,36,-($E$11*Zadání!$G$53),,1)))</f>
        <v>3018.059920158191</v>
      </c>
      <c r="G31" s="340"/>
      <c r="H31" s="341"/>
      <c r="I31" s="235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</row>
    <row r="32" spans="1:23" s="237" customFormat="1" ht="12.75" customHeight="1">
      <c r="A32" s="234"/>
      <c r="B32" s="235"/>
      <c r="C32" s="238">
        <v>0.4</v>
      </c>
      <c r="D32" s="262">
        <f>C32*$E$12</f>
        <v>48000</v>
      </c>
      <c r="E32" s="263">
        <f>$E$12-$E$11</f>
        <v>20000</v>
      </c>
      <c r="F32" s="339">
        <f>IF(Zadání!$C$27=1,PMT(Zadání!$C$52/12,36,-(($E$12-D32)+($E$12*Zadání!$G$53)),,1),(PMT(15%/12,36,-($E$12-D32),,1))+(PMT(20%/12,36,-($E$11*Zadání!$G$53),,1)))</f>
        <v>2626.104086371413</v>
      </c>
      <c r="G32" s="340"/>
      <c r="H32" s="341"/>
      <c r="I32" s="235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</row>
    <row r="33" spans="1:23" s="237" customFormat="1" ht="12.75" customHeight="1">
      <c r="A33" s="234"/>
      <c r="B33" s="235"/>
      <c r="C33" s="239">
        <v>0.5</v>
      </c>
      <c r="D33" s="264">
        <f>C33*$E$12</f>
        <v>60000</v>
      </c>
      <c r="E33" s="265">
        <f>$E$12-$E$11</f>
        <v>20000</v>
      </c>
      <c r="F33" s="348">
        <f>IF(Zadání!$C$27=1,PMT(Zadání!$C$52/12,36,-(($E$12-D33)+($E$12*Zadání!$G$53)),,1),(PMT(15%/12,36,-($E$12-D33),,1))+(PMT(20%/12,36,-($E$11*Zadání!$G$53),,1)))</f>
        <v>2234.148252584635</v>
      </c>
      <c r="G33" s="349"/>
      <c r="H33" s="350"/>
      <c r="I33" s="235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</row>
    <row r="34" spans="1:23" s="251" customFormat="1" ht="39.75" customHeight="1">
      <c r="A34" s="249"/>
      <c r="B34" s="250"/>
      <c r="C34" s="268" t="s">
        <v>3</v>
      </c>
      <c r="D34" s="250"/>
      <c r="E34" s="250"/>
      <c r="F34" s="250"/>
      <c r="G34" s="250"/>
      <c r="H34" s="250"/>
      <c r="I34" s="250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</row>
    <row r="35" spans="1:23" s="233" customFormat="1" ht="12.75" customHeight="1">
      <c r="A35" s="231"/>
      <c r="B35" s="232"/>
      <c r="C35" s="346" t="s">
        <v>133</v>
      </c>
      <c r="D35" s="347"/>
      <c r="E35" s="297" t="s">
        <v>48</v>
      </c>
      <c r="F35" s="299" t="s">
        <v>134</v>
      </c>
      <c r="G35" s="300"/>
      <c r="H35" s="332"/>
      <c r="I35" s="232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1:23" s="233" customFormat="1" ht="12.75" customHeight="1">
      <c r="A36" s="231"/>
      <c r="B36" s="232"/>
      <c r="C36" s="259" t="s">
        <v>0</v>
      </c>
      <c r="D36" s="245" t="s">
        <v>49</v>
      </c>
      <c r="E36" s="298"/>
      <c r="F36" s="333"/>
      <c r="G36" s="334"/>
      <c r="H36" s="335"/>
      <c r="I36" s="232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237" customFormat="1" ht="12.75" customHeight="1">
      <c r="A37" s="234"/>
      <c r="B37" s="235"/>
      <c r="C37" s="236">
        <v>0.2</v>
      </c>
      <c r="D37" s="260">
        <f>C37*$E$12</f>
        <v>24000</v>
      </c>
      <c r="E37" s="261">
        <f>$E$12-$E$11</f>
        <v>20000</v>
      </c>
      <c r="F37" s="336">
        <f>IF(Zadání!$C$27=1,PMT(Zadání!$C$52/12,24,-(($E$12-D37)+($E$12*Zadání!$G$53)),,1),(PMT(15%/12,24,-($E$12-D37),,1))+(PMT(20%/12,24,-($E$11*Zadání!$G$53),,1)))</f>
        <v>4843.710029400373</v>
      </c>
      <c r="G37" s="337"/>
      <c r="H37" s="338"/>
      <c r="I37" s="235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</row>
    <row r="38" spans="1:23" s="237" customFormat="1" ht="12.75" customHeight="1">
      <c r="A38" s="234"/>
      <c r="B38" s="235"/>
      <c r="C38" s="238">
        <v>0.3</v>
      </c>
      <c r="D38" s="262">
        <f>C38*$E$12</f>
        <v>36000</v>
      </c>
      <c r="E38" s="263">
        <f>$E$12-$E$11</f>
        <v>20000</v>
      </c>
      <c r="F38" s="339">
        <f>IF(Zadání!$C$27=1,PMT(Zadání!$C$52/12,24,-(($E$12-D38)+($E$12*Zadání!$G$53)),,1),(PMT(15%/12,24,-($E$12-D38),,1))+(PMT(20%/12,24,-($E$11*Zadání!$G$53),,1)))</f>
        <v>4286.961750158951</v>
      </c>
      <c r="G38" s="340"/>
      <c r="H38" s="341"/>
      <c r="I38" s="235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</row>
    <row r="39" spans="1:23" s="237" customFormat="1" ht="12.75" customHeight="1">
      <c r="A39" s="234"/>
      <c r="B39" s="235"/>
      <c r="C39" s="238">
        <v>0.4</v>
      </c>
      <c r="D39" s="262">
        <f>C39*$E$12</f>
        <v>48000</v>
      </c>
      <c r="E39" s="263">
        <f>$E$12-$E$11</f>
        <v>20000</v>
      </c>
      <c r="F39" s="339">
        <f>IF(Zadání!$C$27=1,PMT(Zadání!$C$52/12,24,-(($E$12-D39)+($E$12*Zadání!$G$53)),,1),(PMT(15%/12,24,-($E$12-D39),,1))+(PMT(20%/12,24,-($E$11*Zadání!$G$53),,1)))</f>
        <v>3730.213470917529</v>
      </c>
      <c r="G39" s="340"/>
      <c r="H39" s="341"/>
      <c r="I39" s="235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</row>
    <row r="40" spans="1:23" s="237" customFormat="1" ht="12.75" customHeight="1">
      <c r="A40" s="234"/>
      <c r="B40" s="235"/>
      <c r="C40" s="239">
        <v>0.5</v>
      </c>
      <c r="D40" s="264">
        <f>C40*$E$12</f>
        <v>60000</v>
      </c>
      <c r="E40" s="265">
        <f>$E$12-$E$11</f>
        <v>20000</v>
      </c>
      <c r="F40" s="348">
        <f>IF(Zadání!$C$27=1,PMT(Zadání!$C$52/12,24,-(($E$12-D40)+($E$12*Zadání!$G$53)),,1),(PMT(15%/12,24,-($E$12-D40),,1))+(PMT(20%/12,24,-($E$11*Zadání!$G$53),,1)))</f>
        <v>3173.4651916761068</v>
      </c>
      <c r="G40" s="349"/>
      <c r="H40" s="350"/>
      <c r="I40" s="235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</row>
    <row r="41" spans="1:23" s="254" customFormat="1" ht="36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</row>
    <row r="42" spans="1:22" s="205" customFormat="1" ht="9.75" customHeight="1">
      <c r="A42" s="203"/>
      <c r="B42" s="195" t="s">
        <v>139</v>
      </c>
      <c r="D42" s="168"/>
      <c r="E42" s="168"/>
      <c r="F42" s="168"/>
      <c r="G42" s="168"/>
      <c r="H42" s="168"/>
      <c r="I42" s="168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s="210" customFormat="1" ht="2.25" customHeight="1" thickBot="1">
      <c r="A43" s="204"/>
      <c r="B43" s="209"/>
      <c r="C43" s="209"/>
      <c r="D43" s="209"/>
      <c r="E43" s="209"/>
      <c r="F43" s="209"/>
      <c r="G43" s="209"/>
      <c r="H43" s="209"/>
      <c r="I43" s="206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</row>
    <row r="44" spans="1:22" s="205" customFormat="1" ht="10.5" customHeight="1">
      <c r="A44" s="203"/>
      <c r="B44" s="195"/>
      <c r="C44" s="195" t="str">
        <f>Zadání!B207</f>
        <v>EUROLEASING 1/2011</v>
      </c>
      <c r="D44" s="168"/>
      <c r="E44" s="168"/>
      <c r="F44" s="168"/>
      <c r="G44" s="301">
        <f ca="1">NOW()</f>
        <v>41191.54051909722</v>
      </c>
      <c r="H44" s="301"/>
      <c r="I44" s="168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3" s="17" customFormat="1" ht="15" customHeight="1">
      <c r="A45" s="16"/>
      <c r="B45" s="16"/>
      <c r="C45" s="16"/>
      <c r="D45" s="67"/>
      <c r="E45" s="67"/>
      <c r="F45" s="67"/>
      <c r="G45" s="67"/>
      <c r="H45" s="6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17" customFormat="1" ht="15" customHeight="1">
      <c r="A46" s="16"/>
      <c r="B46" s="16"/>
      <c r="C46" s="16"/>
      <c r="D46" s="67"/>
      <c r="E46" s="67"/>
      <c r="F46" s="67"/>
      <c r="G46" s="67"/>
      <c r="H46" s="6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7" customFormat="1" ht="15" customHeight="1">
      <c r="A47" s="16"/>
      <c r="B47" s="16"/>
      <c r="C47" s="16"/>
      <c r="D47" s="67"/>
      <c r="E47" s="67"/>
      <c r="F47" s="67"/>
      <c r="G47" s="67"/>
      <c r="H47" s="6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8" customFormat="1" ht="15" customHeight="1">
      <c r="A48" s="19"/>
      <c r="B48" s="19"/>
      <c r="C48" s="19"/>
      <c r="D48" s="68"/>
      <c r="E48" s="68"/>
      <c r="F48" s="68"/>
      <c r="G48" s="68"/>
      <c r="H48" s="6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s="17" customFormat="1" ht="15" customHeight="1">
      <c r="A49" s="16"/>
      <c r="B49" s="16"/>
      <c r="C49" s="16"/>
      <c r="D49" s="66"/>
      <c r="E49" s="66"/>
      <c r="F49" s="66"/>
      <c r="G49" s="66"/>
      <c r="H49" s="6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17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17" customFormat="1" ht="15" customHeight="1">
      <c r="A51" s="16"/>
      <c r="B51" s="16"/>
      <c r="C51" s="19"/>
      <c r="D51" s="16"/>
      <c r="E51" s="69"/>
      <c r="F51" s="6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17" customFormat="1" ht="15" customHeight="1">
      <c r="A52" s="16"/>
      <c r="B52" s="16"/>
      <c r="C52" s="16"/>
      <c r="D52" s="65"/>
      <c r="E52" s="65"/>
      <c r="F52" s="65"/>
      <c r="G52" s="65"/>
      <c r="H52" s="6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17" customFormat="1" ht="15" customHeight="1">
      <c r="A53" s="16"/>
      <c r="B53" s="16"/>
      <c r="C53" s="16"/>
      <c r="D53" s="66"/>
      <c r="E53" s="66"/>
      <c r="F53" s="66"/>
      <c r="G53" s="66"/>
      <c r="H53" s="6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17" customFormat="1" ht="15" customHeight="1">
      <c r="A54" s="16"/>
      <c r="B54" s="16"/>
      <c r="C54" s="16"/>
      <c r="D54" s="67"/>
      <c r="E54" s="67"/>
      <c r="F54" s="67"/>
      <c r="G54" s="67"/>
      <c r="H54" s="6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17" customFormat="1" ht="15" customHeight="1">
      <c r="A55" s="16"/>
      <c r="B55" s="16"/>
      <c r="C55" s="16"/>
      <c r="D55" s="67"/>
      <c r="E55" s="67"/>
      <c r="F55" s="67"/>
      <c r="G55" s="67"/>
      <c r="H55" s="6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17" customFormat="1" ht="15" customHeight="1">
      <c r="A56" s="16"/>
      <c r="B56" s="16"/>
      <c r="C56" s="16"/>
      <c r="D56" s="67"/>
      <c r="E56" s="67"/>
      <c r="F56" s="67"/>
      <c r="G56" s="67"/>
      <c r="H56" s="6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7" customFormat="1" ht="15" customHeight="1">
      <c r="A57" s="16"/>
      <c r="B57" s="16"/>
      <c r="C57" s="16"/>
      <c r="D57" s="67"/>
      <c r="E57" s="67"/>
      <c r="F57" s="67"/>
      <c r="G57" s="67"/>
      <c r="H57" s="6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17" customFormat="1" ht="15" customHeight="1">
      <c r="A58" s="16"/>
      <c r="B58" s="16"/>
      <c r="C58" s="16"/>
      <c r="D58" s="67"/>
      <c r="E58" s="67"/>
      <c r="F58" s="67"/>
      <c r="G58" s="67"/>
      <c r="H58" s="6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17" customFormat="1" ht="15" customHeight="1">
      <c r="A59" s="16"/>
      <c r="B59" s="16"/>
      <c r="C59" s="16"/>
      <c r="D59" s="67"/>
      <c r="E59" s="67"/>
      <c r="F59" s="67"/>
      <c r="G59" s="67"/>
      <c r="H59" s="6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18" customFormat="1" ht="15" customHeight="1">
      <c r="A60" s="19"/>
      <c r="B60" s="19"/>
      <c r="C60" s="19"/>
      <c r="D60" s="68"/>
      <c r="E60" s="68"/>
      <c r="F60" s="68"/>
      <c r="G60" s="68"/>
      <c r="H60" s="6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s="17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6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7" customFormat="1" ht="15" customHeight="1">
      <c r="A63" s="16"/>
      <c r="B63" s="16"/>
      <c r="C63" s="19"/>
      <c r="D63" s="16"/>
      <c r="E63" s="69"/>
      <c r="F63" s="6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17" customFormat="1" ht="15" customHeight="1">
      <c r="A64" s="16"/>
      <c r="B64" s="16"/>
      <c r="C64" s="16"/>
      <c r="D64" s="65"/>
      <c r="E64" s="65"/>
      <c r="F64" s="65"/>
      <c r="G64" s="65"/>
      <c r="H64" s="6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s="17" customFormat="1" ht="15" customHeight="1">
      <c r="A65" s="16"/>
      <c r="B65" s="16"/>
      <c r="C65" s="16"/>
      <c r="D65" s="66"/>
      <c r="E65" s="66"/>
      <c r="F65" s="66"/>
      <c r="G65" s="66"/>
      <c r="H65" s="6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17" customFormat="1" ht="15" customHeight="1">
      <c r="A66" s="16"/>
      <c r="B66" s="16"/>
      <c r="C66" s="16"/>
      <c r="D66" s="67"/>
      <c r="E66" s="67"/>
      <c r="F66" s="67"/>
      <c r="G66" s="67"/>
      <c r="H66" s="6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s="17" customFormat="1" ht="15" customHeight="1">
      <c r="A67" s="16"/>
      <c r="B67" s="16"/>
      <c r="C67" s="16"/>
      <c r="D67" s="67"/>
      <c r="E67" s="67"/>
      <c r="F67" s="67"/>
      <c r="G67" s="67"/>
      <c r="H67" s="6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s="17" customFormat="1" ht="15" customHeight="1">
      <c r="A68" s="16"/>
      <c r="B68" s="16"/>
      <c r="C68" s="16"/>
      <c r="D68" s="67"/>
      <c r="E68" s="67"/>
      <c r="F68" s="67"/>
      <c r="G68" s="67"/>
      <c r="H68" s="6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17" customFormat="1" ht="15" customHeight="1">
      <c r="A69" s="16"/>
      <c r="B69" s="16"/>
      <c r="C69" s="16"/>
      <c r="D69" s="67"/>
      <c r="E69" s="67"/>
      <c r="F69" s="67"/>
      <c r="G69" s="67"/>
      <c r="H69" s="6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17" customFormat="1" ht="15" customHeight="1">
      <c r="A70" s="16"/>
      <c r="B70" s="16"/>
      <c r="C70" s="16"/>
      <c r="D70" s="67"/>
      <c r="E70" s="67"/>
      <c r="F70" s="67"/>
      <c r="G70" s="67"/>
      <c r="H70" s="6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17" customFormat="1" ht="15" customHeight="1">
      <c r="A71" s="16"/>
      <c r="B71" s="16"/>
      <c r="C71" s="16"/>
      <c r="D71" s="67"/>
      <c r="E71" s="67"/>
      <c r="F71" s="67"/>
      <c r="G71" s="67"/>
      <c r="H71" s="6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18" customFormat="1" ht="15" customHeight="1">
      <c r="A72" s="19"/>
      <c r="B72" s="19"/>
      <c r="C72" s="19"/>
      <c r="D72" s="68"/>
      <c r="E72" s="68"/>
      <c r="F72" s="68"/>
      <c r="G72" s="68"/>
      <c r="H72" s="6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s="6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6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7" customFormat="1" ht="15" customHeight="1">
      <c r="A75" s="16"/>
      <c r="B75" s="16"/>
      <c r="C75" s="19"/>
      <c r="D75" s="16"/>
      <c r="E75" s="69"/>
      <c r="F75" s="6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s="17" customFormat="1" ht="15" customHeight="1">
      <c r="A76" s="16"/>
      <c r="B76" s="16"/>
      <c r="C76" s="16"/>
      <c r="D76" s="65"/>
      <c r="E76" s="65"/>
      <c r="F76" s="65"/>
      <c r="G76" s="65"/>
      <c r="H76" s="6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s="17" customFormat="1" ht="15" customHeight="1">
      <c r="A77" s="16"/>
      <c r="B77" s="16"/>
      <c r="C77" s="16"/>
      <c r="D77" s="66"/>
      <c r="E77" s="66"/>
      <c r="F77" s="66"/>
      <c r="G77" s="66"/>
      <c r="H77" s="6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s="17" customFormat="1" ht="15" customHeight="1">
      <c r="A78" s="16"/>
      <c r="B78" s="16"/>
      <c r="C78" s="16"/>
      <c r="D78" s="67"/>
      <c r="E78" s="67"/>
      <c r="F78" s="67"/>
      <c r="G78" s="67"/>
      <c r="H78" s="6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s="17" customFormat="1" ht="15" customHeight="1">
      <c r="A79" s="16"/>
      <c r="B79" s="16"/>
      <c r="C79" s="16"/>
      <c r="D79" s="67"/>
      <c r="E79" s="67"/>
      <c r="F79" s="67"/>
      <c r="G79" s="67"/>
      <c r="H79" s="6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s="17" customFormat="1" ht="15" customHeight="1">
      <c r="A80" s="16"/>
      <c r="B80" s="16"/>
      <c r="C80" s="16"/>
      <c r="D80" s="67"/>
      <c r="E80" s="67"/>
      <c r="F80" s="67"/>
      <c r="G80" s="67"/>
      <c r="H80" s="6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s="17" customFormat="1" ht="15" customHeight="1">
      <c r="A81" s="16"/>
      <c r="B81" s="16"/>
      <c r="C81" s="16"/>
      <c r="D81" s="67"/>
      <c r="E81" s="67"/>
      <c r="F81" s="67"/>
      <c r="G81" s="67"/>
      <c r="H81" s="6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s="17" customFormat="1" ht="15" customHeight="1">
      <c r="A82" s="16"/>
      <c r="B82" s="16"/>
      <c r="C82" s="16"/>
      <c r="D82" s="67"/>
      <c r="E82" s="67"/>
      <c r="F82" s="67"/>
      <c r="G82" s="67"/>
      <c r="H82" s="6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s="17" customFormat="1" ht="15" customHeight="1">
      <c r="A83" s="16"/>
      <c r="B83" s="16"/>
      <c r="C83" s="16"/>
      <c r="D83" s="67"/>
      <c r="E83" s="67"/>
      <c r="F83" s="67"/>
      <c r="G83" s="67"/>
      <c r="H83" s="6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s="18" customFormat="1" ht="15" customHeight="1">
      <c r="A84" s="19"/>
      <c r="B84" s="19"/>
      <c r="C84" s="19"/>
      <c r="D84" s="68"/>
      <c r="E84" s="68"/>
      <c r="F84" s="68"/>
      <c r="G84" s="68"/>
      <c r="H84" s="6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s="6" customFormat="1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6" customFormat="1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6" customFormat="1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="5" customFormat="1" ht="15" customHeight="1"/>
    <row r="89" s="5" customFormat="1" ht="15" customHeight="1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pans="4:5" s="2" customFormat="1" ht="12.75">
      <c r="D166" s="62" t="s">
        <v>29</v>
      </c>
      <c r="E166" s="64">
        <v>1</v>
      </c>
    </row>
    <row r="167" s="2" customFormat="1" ht="12.75">
      <c r="D167" s="57" t="s">
        <v>22</v>
      </c>
    </row>
    <row r="168" s="2" customFormat="1" ht="12.75">
      <c r="D168" s="57" t="s">
        <v>23</v>
      </c>
    </row>
    <row r="169" s="2" customFormat="1" ht="12.75">
      <c r="D169" s="58"/>
    </row>
    <row r="170" s="2" customFormat="1" ht="12.75"/>
    <row r="171" spans="4:5" s="2" customFormat="1" ht="12.75">
      <c r="D171" s="62" t="s">
        <v>25</v>
      </c>
      <c r="E171" s="64">
        <v>1</v>
      </c>
    </row>
    <row r="172" s="2" customFormat="1" ht="12.75">
      <c r="D172" s="57" t="s">
        <v>26</v>
      </c>
    </row>
    <row r="173" s="2" customFormat="1" ht="12.75">
      <c r="D173" s="57" t="s">
        <v>27</v>
      </c>
    </row>
    <row r="174" s="2" customFormat="1" ht="12.75">
      <c r="D174" s="58" t="s">
        <v>28</v>
      </c>
    </row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</sheetData>
  <sheetProtection password="DBB2" sheet="1" objects="1" scenarios="1"/>
  <mergeCells count="32">
    <mergeCell ref="C21:D21"/>
    <mergeCell ref="C28:D28"/>
    <mergeCell ref="C35:D35"/>
    <mergeCell ref="F31:H31"/>
    <mergeCell ref="F32:H32"/>
    <mergeCell ref="F33:H33"/>
    <mergeCell ref="F26:H26"/>
    <mergeCell ref="E28:E29"/>
    <mergeCell ref="F28:H29"/>
    <mergeCell ref="F30:H30"/>
    <mergeCell ref="G44:H44"/>
    <mergeCell ref="F39:H39"/>
    <mergeCell ref="F40:H40"/>
    <mergeCell ref="E35:E36"/>
    <mergeCell ref="F35:H36"/>
    <mergeCell ref="F37:H37"/>
    <mergeCell ref="F38:H38"/>
    <mergeCell ref="F23:H23"/>
    <mergeCell ref="F24:H24"/>
    <mergeCell ref="F25:H25"/>
    <mergeCell ref="F19:H19"/>
    <mergeCell ref="F21:H22"/>
    <mergeCell ref="B9:I9"/>
    <mergeCell ref="E14:E15"/>
    <mergeCell ref="E21:E22"/>
    <mergeCell ref="F14:H15"/>
    <mergeCell ref="F16:H16"/>
    <mergeCell ref="F17:H17"/>
    <mergeCell ref="F18:H18"/>
    <mergeCell ref="C11:D11"/>
    <mergeCell ref="C12:D12"/>
    <mergeCell ref="C14:D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5"/>
  <sheetViews>
    <sheetView workbookViewId="0" topLeftCell="A37">
      <selection activeCell="C64" sqref="C64"/>
    </sheetView>
  </sheetViews>
  <sheetFormatPr defaultColWidth="9.00390625" defaultRowHeight="12.75"/>
  <cols>
    <col min="1" max="1" width="1.75390625" style="2" customWidth="1"/>
    <col min="2" max="2" width="2.00390625" style="1" customWidth="1"/>
    <col min="3" max="6" width="21.75390625" style="0" customWidth="1"/>
    <col min="7" max="7" width="2.25390625" style="0" customWidth="1"/>
    <col min="8" max="8" width="12.875" style="2" customWidth="1"/>
    <col min="9" max="21" width="9.125" style="2" customWidth="1"/>
  </cols>
  <sheetData>
    <row r="1" spans="1:23" s="6" customFormat="1" ht="4.5" customHeight="1">
      <c r="A1" s="5"/>
      <c r="B1" s="20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3" customFormat="1" ht="12.75" customHeight="1">
      <c r="A2" s="12"/>
      <c r="B2" s="26" t="str">
        <f>IF(Zadání!C196=1," pobočka Praha 2",IF(Zadání!C196=2," pobočka Rakovník",Zadání!C19))</f>
        <v> pobočka Rakovník</v>
      </c>
      <c r="C2" s="24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3" customFormat="1" ht="12.75" customHeight="1">
      <c r="A3" s="12"/>
      <c r="B3" s="27" t="str">
        <f>IF(Zadání!C196=1," Sekaninova 52, PSČ: 128 00",IF(Zadání!C196=2," Vysoká 273, PSČ: 269 01",Zadání!C20))</f>
        <v> Vysoká 273, PSČ: 269 01</v>
      </c>
      <c r="C3" s="24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3" customFormat="1" ht="12.75" customHeight="1">
      <c r="A4" s="12"/>
      <c r="B4" s="27" t="str">
        <f>IF(Zadání!C196=1," tel.: 224 936 262-3",IF(Zadání!C196=2," tel.: 313 515 742-3",Zadání!C21))</f>
        <v> tel.: 313 515 742-3</v>
      </c>
      <c r="C4" s="24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3" customFormat="1" ht="12.75" customHeight="1">
      <c r="A5" s="12"/>
      <c r="B5" s="27" t="str">
        <f>IF(Zadání!C196=1," fax: 261 220 074",IF(Zadání!C196=2," fax: 313 516 260",Zadání!C22))</f>
        <v> fax: 313 516 260</v>
      </c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 ht="12.75" customHeight="1">
      <c r="A6" s="12"/>
      <c r="B6" s="27" t="str">
        <f>IF(Zadání!C196=1," e-mail: praha@euroleasing.cz",IF(Zadání!C196=2," e-mail: rakovník@euroleasing.cz",Zadání!C23))</f>
        <v> e-mail: rakovník@euroleasing.cz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3" customFormat="1" ht="12.75" customHeight="1">
      <c r="A7" s="12"/>
      <c r="B7" s="27" t="str">
        <f>IF(Zadání!C196=1," vyřizuje: D. Michalíčková, 608 345 109",IF(Zadání!C196=2," vyřizuje: J.Komínková, 608 345 108",Zadání!C24))</f>
        <v> vyřizuje: J.Komínková, 608 345 108</v>
      </c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 ht="33.75" customHeight="1">
      <c r="A8" s="12"/>
      <c r="B8" s="28"/>
      <c r="C8" s="25"/>
      <c r="D8" s="25"/>
      <c r="E8" s="25"/>
      <c r="F8" s="25"/>
      <c r="G8" s="25"/>
      <c r="H8" s="10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49.5" customHeight="1">
      <c r="A9" s="5"/>
      <c r="B9" s="356" t="s">
        <v>123</v>
      </c>
      <c r="C9" s="357"/>
      <c r="D9" s="357"/>
      <c r="E9" s="357"/>
      <c r="F9" s="357"/>
      <c r="G9" s="357"/>
      <c r="H9" s="105"/>
      <c r="I9" s="5"/>
      <c r="J9" s="8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33.75" customHeight="1">
      <c r="A10" s="5"/>
      <c r="B10" s="4"/>
      <c r="C10" s="170"/>
      <c r="D10" s="170"/>
      <c r="E10" s="170"/>
      <c r="F10" s="170"/>
      <c r="G10" s="32"/>
      <c r="H10" s="105"/>
      <c r="I10" s="5"/>
      <c r="J10" s="8"/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2" s="167" customFormat="1" ht="15" customHeight="1">
      <c r="A11" s="164"/>
      <c r="B11" s="165"/>
      <c r="C11" s="171" t="s">
        <v>124</v>
      </c>
      <c r="D11" s="172"/>
      <c r="E11" s="173">
        <f>Zadání!C5</f>
        <v>100000</v>
      </c>
      <c r="F11" s="174"/>
      <c r="G11" s="166"/>
      <c r="H11" s="164"/>
      <c r="I11" s="86"/>
      <c r="J11" s="86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spans="1:22" s="167" customFormat="1" ht="15" customHeight="1">
      <c r="A12" s="164"/>
      <c r="B12" s="165"/>
      <c r="C12" s="175" t="s">
        <v>125</v>
      </c>
      <c r="D12" s="176"/>
      <c r="E12" s="177">
        <f>Zadání!C5*(Zadání!C7+1)</f>
        <v>120000</v>
      </c>
      <c r="F12" s="170"/>
      <c r="G12" s="87"/>
      <c r="H12" s="164"/>
      <c r="I12" s="86"/>
      <c r="J12" s="86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</row>
    <row r="13" spans="1:22" s="167" customFormat="1" ht="15" customHeight="1">
      <c r="A13" s="164"/>
      <c r="B13" s="165"/>
      <c r="C13" s="292"/>
      <c r="D13" s="293"/>
      <c r="E13" s="294"/>
      <c r="F13" s="170"/>
      <c r="G13" s="87"/>
      <c r="H13" s="164"/>
      <c r="I13" s="86"/>
      <c r="J13" s="86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spans="1:22" s="167" customFormat="1" ht="15" customHeight="1">
      <c r="A14" s="164"/>
      <c r="B14" s="165"/>
      <c r="C14" s="292"/>
      <c r="D14" s="293"/>
      <c r="E14" s="294"/>
      <c r="F14" s="170"/>
      <c r="G14" s="87"/>
      <c r="H14" s="164"/>
      <c r="I14" s="86"/>
      <c r="J14" s="86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1:21" s="88" customFormat="1" ht="15" customHeight="1">
      <c r="A15" s="86"/>
      <c r="B15" s="87"/>
      <c r="C15" s="191" t="s">
        <v>138</v>
      </c>
      <c r="D15" s="178"/>
      <c r="E15" s="178"/>
      <c r="F15" s="179"/>
      <c r="G15" s="87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258" customFormat="1" ht="15" customHeight="1">
      <c r="A16" s="256"/>
      <c r="B16" s="257"/>
      <c r="C16" s="354" t="s">
        <v>73</v>
      </c>
      <c r="D16" s="355"/>
      <c r="E16" s="351" t="s">
        <v>48</v>
      </c>
      <c r="F16" s="351" t="s">
        <v>79</v>
      </c>
      <c r="G16" s="257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</row>
    <row r="17" spans="1:20" s="94" customFormat="1" ht="15" customHeight="1">
      <c r="A17" s="92"/>
      <c r="B17" s="93"/>
      <c r="C17" s="180" t="s">
        <v>0</v>
      </c>
      <c r="D17" s="181" t="s">
        <v>49</v>
      </c>
      <c r="E17" s="352"/>
      <c r="F17" s="352"/>
      <c r="G17" s="93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s="36" customFormat="1" ht="15" customHeight="1">
      <c r="A18" s="34"/>
      <c r="B18" s="35"/>
      <c r="C18" s="196">
        <v>0.3</v>
      </c>
      <c r="D18" s="197">
        <f>$E$12*C18</f>
        <v>36000</v>
      </c>
      <c r="E18" s="197">
        <f>(D53+$E$11)*Zadání!$C$7</f>
        <v>22180</v>
      </c>
      <c r="F18" s="198">
        <f>(((D53+$E$11)*$C$59)-D18)/6</f>
        <v>16180</v>
      </c>
      <c r="G18" s="3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s="40" customFormat="1" ht="15" customHeight="1">
      <c r="A19" s="37"/>
      <c r="B19" s="38"/>
      <c r="C19" s="199">
        <v>0.4</v>
      </c>
      <c r="D19" s="200">
        <f>$E$12*C19</f>
        <v>48000</v>
      </c>
      <c r="E19" s="197">
        <f>(D54+$E$11)*Zadání!$C$7</f>
        <v>21940</v>
      </c>
      <c r="F19" s="198">
        <f>(((D54+$E$11)*$C$59)-D19)/6</f>
        <v>13940</v>
      </c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40" customFormat="1" ht="15" customHeight="1">
      <c r="A20" s="37"/>
      <c r="B20" s="38"/>
      <c r="C20" s="199">
        <v>0.5</v>
      </c>
      <c r="D20" s="200">
        <f>$E$12*C20</f>
        <v>60000</v>
      </c>
      <c r="E20" s="197">
        <f>(D55+$E$11)*Zadání!$C$7</f>
        <v>21700</v>
      </c>
      <c r="F20" s="198">
        <f>(((D55+$E$11)*$C$59)-D20)/6</f>
        <v>11700</v>
      </c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40" customFormat="1" ht="15" customHeight="1">
      <c r="A21" s="37"/>
      <c r="B21" s="38"/>
      <c r="C21" s="201">
        <v>0.6</v>
      </c>
      <c r="D21" s="202">
        <f>$E$12*C21</f>
        <v>72000</v>
      </c>
      <c r="E21" s="197">
        <f>(D56+$E$11)*Zadání!$C$7</f>
        <v>21460</v>
      </c>
      <c r="F21" s="198">
        <f>(((D56+$E$11)*$C$59)-D21)/6</f>
        <v>9460</v>
      </c>
      <c r="G21" s="3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1" s="88" customFormat="1" ht="15" customHeight="1">
      <c r="A22" s="86"/>
      <c r="B22" s="87"/>
      <c r="C22" s="178"/>
      <c r="D22" s="178"/>
      <c r="E22" s="178"/>
      <c r="F22" s="179"/>
      <c r="G22" s="87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s="88" customFormat="1" ht="15" customHeight="1">
      <c r="A23" s="86"/>
      <c r="B23" s="87"/>
      <c r="C23" s="191" t="s">
        <v>126</v>
      </c>
      <c r="D23" s="178"/>
      <c r="E23" s="178"/>
      <c r="F23" s="179"/>
      <c r="G23" s="87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s="258" customFormat="1" ht="15" customHeight="1">
      <c r="A24" s="256"/>
      <c r="B24" s="257"/>
      <c r="C24" s="354" t="s">
        <v>73</v>
      </c>
      <c r="D24" s="355"/>
      <c r="E24" s="351" t="s">
        <v>48</v>
      </c>
      <c r="F24" s="351" t="s">
        <v>79</v>
      </c>
      <c r="G24" s="257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</row>
    <row r="25" spans="1:20" s="94" customFormat="1" ht="15" customHeight="1">
      <c r="A25" s="92"/>
      <c r="B25" s="93"/>
      <c r="C25" s="180" t="s">
        <v>0</v>
      </c>
      <c r="D25" s="181" t="s">
        <v>49</v>
      </c>
      <c r="E25" s="352"/>
      <c r="F25" s="352"/>
      <c r="G25" s="93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s="36" customFormat="1" ht="15" customHeight="1">
      <c r="A26" s="34"/>
      <c r="B26" s="35"/>
      <c r="C26" s="196">
        <v>0.3</v>
      </c>
      <c r="D26" s="197">
        <f>$E$12*C26</f>
        <v>36000</v>
      </c>
      <c r="E26" s="197">
        <f>(E53+$E$11)*Zadání!$C$7</f>
        <v>21844</v>
      </c>
      <c r="F26" s="198">
        <f>(((E53+$E$11)*$C$59)-D26)/5</f>
        <v>19012.8</v>
      </c>
      <c r="G26" s="3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40" customFormat="1" ht="15" customHeight="1">
      <c r="A27" s="37"/>
      <c r="B27" s="38"/>
      <c r="C27" s="199">
        <v>0.4</v>
      </c>
      <c r="D27" s="200">
        <f>$E$12*C27</f>
        <v>48000</v>
      </c>
      <c r="E27" s="197">
        <f>(E54+$E$11)*Zadání!$C$7</f>
        <v>21652</v>
      </c>
      <c r="F27" s="198">
        <f>(((E54+$E$11)*$C$59)-D27)/5</f>
        <v>16382.4</v>
      </c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40" customFormat="1" ht="15" customHeight="1">
      <c r="A28" s="37"/>
      <c r="B28" s="38"/>
      <c r="C28" s="199">
        <v>0.5</v>
      </c>
      <c r="D28" s="200">
        <f>$E$12*C28</f>
        <v>60000</v>
      </c>
      <c r="E28" s="197">
        <f>(E55+$E$11)*Zadání!$C$7</f>
        <v>21460</v>
      </c>
      <c r="F28" s="198">
        <f>(((E55+$E$11)*$C$59)-D28)/5</f>
        <v>13752</v>
      </c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0" customFormat="1" ht="15" customHeight="1">
      <c r="A29" s="37"/>
      <c r="B29" s="38"/>
      <c r="C29" s="201">
        <v>0.6</v>
      </c>
      <c r="D29" s="202">
        <f>$E$12*C29</f>
        <v>72000</v>
      </c>
      <c r="E29" s="197">
        <f>(E56+$E$11)*Zadání!$C$7</f>
        <v>21268</v>
      </c>
      <c r="F29" s="198">
        <f>(((E56+$E$11)*$C$59)-D29)/5</f>
        <v>11121.6</v>
      </c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1" s="36" customFormat="1" ht="16.5" customHeight="1">
      <c r="A30" s="34"/>
      <c r="B30" s="35"/>
      <c r="C30" s="183"/>
      <c r="D30" s="184"/>
      <c r="E30" s="184"/>
      <c r="F30" s="185"/>
      <c r="G30" s="9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88" customFormat="1" ht="15" customHeight="1">
      <c r="A31" s="86"/>
      <c r="B31" s="87"/>
      <c r="C31" s="191" t="s">
        <v>127</v>
      </c>
      <c r="D31" s="178"/>
      <c r="E31" s="178"/>
      <c r="F31" s="179"/>
      <c r="G31" s="8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s="91" customFormat="1" ht="15" customHeight="1">
      <c r="A32" s="89"/>
      <c r="B32" s="90"/>
      <c r="C32" s="354" t="s">
        <v>73</v>
      </c>
      <c r="D32" s="355"/>
      <c r="E32" s="351" t="s">
        <v>48</v>
      </c>
      <c r="F32" s="351" t="s">
        <v>79</v>
      </c>
      <c r="G32" s="90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0" s="94" customFormat="1" ht="15" customHeight="1">
      <c r="A33" s="92"/>
      <c r="B33" s="93"/>
      <c r="C33" s="180" t="s">
        <v>0</v>
      </c>
      <c r="D33" s="181" t="s">
        <v>49</v>
      </c>
      <c r="E33" s="352"/>
      <c r="F33" s="352"/>
      <c r="G33" s="93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s="36" customFormat="1" ht="15" customHeight="1">
      <c r="A34" s="34"/>
      <c r="B34" s="35"/>
      <c r="C34" s="196">
        <v>0.3</v>
      </c>
      <c r="D34" s="197">
        <f>$E$12*C34</f>
        <v>36000</v>
      </c>
      <c r="E34" s="197">
        <f>(F53+$E$11)*Zadání!$C$7</f>
        <v>21508</v>
      </c>
      <c r="F34" s="198">
        <f>(((F53+$E$11)*$C$59)-D34)/4</f>
        <v>23262</v>
      </c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s="40" customFormat="1" ht="15" customHeight="1">
      <c r="A35" s="37"/>
      <c r="B35" s="38"/>
      <c r="C35" s="199">
        <v>0.4</v>
      </c>
      <c r="D35" s="200">
        <f>$E$12*C35</f>
        <v>48000</v>
      </c>
      <c r="E35" s="197">
        <f>(F54+$E$11)*Zadání!$C$7</f>
        <v>21364</v>
      </c>
      <c r="F35" s="198">
        <f>(((F54+$E$11)*$C$59)-D35)/4</f>
        <v>20046</v>
      </c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40" customFormat="1" ht="15" customHeight="1">
      <c r="A36" s="37"/>
      <c r="B36" s="38"/>
      <c r="C36" s="199">
        <v>0.5</v>
      </c>
      <c r="D36" s="200">
        <f>$E$12*C36</f>
        <v>60000</v>
      </c>
      <c r="E36" s="197">
        <f>(F55+$E$11)*Zadání!$C$7</f>
        <v>21220</v>
      </c>
      <c r="F36" s="198">
        <f>(((F55+$E$11)*$C$59)-D36)/4</f>
        <v>16830</v>
      </c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40" customFormat="1" ht="15" customHeight="1">
      <c r="A37" s="37"/>
      <c r="B37" s="38"/>
      <c r="C37" s="201">
        <v>0.6</v>
      </c>
      <c r="D37" s="202">
        <f>$E$12*C37</f>
        <v>72000</v>
      </c>
      <c r="E37" s="197">
        <f>(F56+$E$11)*Zadání!$C$7</f>
        <v>21076</v>
      </c>
      <c r="F37" s="198">
        <f>(((F56+$E$11)*$C$59)-D37)/4</f>
        <v>13614</v>
      </c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1" s="36" customFormat="1" ht="19.5" customHeight="1">
      <c r="A38" s="34"/>
      <c r="B38" s="35"/>
      <c r="C38" s="183"/>
      <c r="D38" s="184"/>
      <c r="E38" s="184"/>
      <c r="F38" s="185"/>
      <c r="G38" s="97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s="88" customFormat="1" ht="15" customHeight="1">
      <c r="A39" s="86"/>
      <c r="B39" s="87"/>
      <c r="C39" s="191" t="s">
        <v>128</v>
      </c>
      <c r="D39" s="178"/>
      <c r="E39" s="178"/>
      <c r="F39" s="179"/>
      <c r="G39" s="87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91" customFormat="1" ht="15" customHeight="1">
      <c r="A40" s="89"/>
      <c r="B40" s="90"/>
      <c r="C40" s="354" t="s">
        <v>73</v>
      </c>
      <c r="D40" s="355"/>
      <c r="E40" s="351" t="s">
        <v>48</v>
      </c>
      <c r="F40" s="351" t="s">
        <v>79</v>
      </c>
      <c r="G40" s="90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0" s="94" customFormat="1" ht="15" customHeight="1">
      <c r="A41" s="92"/>
      <c r="B41" s="93"/>
      <c r="C41" s="180" t="s">
        <v>0</v>
      </c>
      <c r="D41" s="181" t="s">
        <v>49</v>
      </c>
      <c r="E41" s="352"/>
      <c r="F41" s="352"/>
      <c r="G41" s="9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s="36" customFormat="1" ht="15" customHeight="1">
      <c r="A42" s="34"/>
      <c r="B42" s="35"/>
      <c r="C42" s="196">
        <v>0.3</v>
      </c>
      <c r="D42" s="197">
        <f>$E$12*C42</f>
        <v>36000</v>
      </c>
      <c r="E42" s="197">
        <f>(H53+$E$11)*Zadání!$C$7</f>
        <v>21340</v>
      </c>
      <c r="F42" s="198">
        <f>(((H53+$E$11)*$C$59)-D42)/3</f>
        <v>30680</v>
      </c>
      <c r="G42" s="35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40" customFormat="1" ht="15" customHeight="1">
      <c r="A43" s="37"/>
      <c r="B43" s="38"/>
      <c r="C43" s="199">
        <v>0.4</v>
      </c>
      <c r="D43" s="200">
        <f>$E$12*C43</f>
        <v>48000</v>
      </c>
      <c r="E43" s="197">
        <f>(H54+$E$11)*Zadání!$C$7</f>
        <v>21220</v>
      </c>
      <c r="F43" s="198">
        <f>(((H54+$E$11)*$C$59)-D43)/3</f>
        <v>26440</v>
      </c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40" customFormat="1" ht="15" customHeight="1">
      <c r="A44" s="37"/>
      <c r="B44" s="38"/>
      <c r="C44" s="199">
        <v>0.5</v>
      </c>
      <c r="D44" s="200">
        <f>$E$12*C44</f>
        <v>60000</v>
      </c>
      <c r="E44" s="197">
        <f>(H55+$E$11)*Zadání!$C$7</f>
        <v>21100</v>
      </c>
      <c r="F44" s="198">
        <f>(((H55+$E$11)*$C$59)-D44)/3</f>
        <v>22200</v>
      </c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40" customFormat="1" ht="15" customHeight="1">
      <c r="A45" s="37"/>
      <c r="B45" s="38"/>
      <c r="C45" s="201">
        <v>0.6</v>
      </c>
      <c r="D45" s="202">
        <f>$E$12*C45</f>
        <v>72000</v>
      </c>
      <c r="E45" s="197">
        <f>(H56+$E$11)*Zadání!$C$7</f>
        <v>20980</v>
      </c>
      <c r="F45" s="198">
        <f>(((H56+$E$11)*$C$59)-D45)/3</f>
        <v>17960</v>
      </c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1" s="100" customFormat="1" ht="24.75" customHeight="1">
      <c r="A46" s="98"/>
      <c r="B46" s="99"/>
      <c r="C46" s="120"/>
      <c r="D46" s="95"/>
      <c r="E46" s="95"/>
      <c r="F46" s="96"/>
      <c r="G46" s="99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 s="6" customFormat="1" ht="10.5" customHeight="1">
      <c r="A47" s="5"/>
      <c r="B47" s="170" t="s">
        <v>129</v>
      </c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9" customFormat="1" ht="2.25" customHeight="1" thickBot="1">
      <c r="A48" s="8"/>
      <c r="B48" s="7"/>
      <c r="C48" s="7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s="6" customFormat="1" ht="12" customHeight="1">
      <c r="A49" s="5"/>
      <c r="B49" s="42"/>
      <c r="C49" s="195" t="str">
        <f>Zadání!B207</f>
        <v>EUROLEASING 1/2011</v>
      </c>
      <c r="D49" s="43"/>
      <c r="E49" s="43"/>
      <c r="F49" s="301">
        <f ca="1">NOW()</f>
        <v>41191.54051909722</v>
      </c>
      <c r="G49" s="35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17" customFormat="1" ht="15" customHeight="1" hidden="1">
      <c r="A50" s="16"/>
      <c r="B50" s="16"/>
      <c r="C50" s="19"/>
      <c r="D50" s="16"/>
      <c r="E50" s="69"/>
      <c r="F50" s="6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15" customHeight="1" hidden="1">
      <c r="A51" s="16"/>
      <c r="B51" s="16"/>
      <c r="C51" s="107"/>
      <c r="D51" s="107"/>
      <c r="E51" s="186"/>
      <c r="F51" s="63"/>
      <c r="G51" s="1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15" customHeight="1" hidden="1">
      <c r="A52" s="16"/>
      <c r="B52" s="16"/>
      <c r="C52" s="180" t="s">
        <v>0</v>
      </c>
      <c r="D52" s="295">
        <v>6</v>
      </c>
      <c r="E52" s="181">
        <v>5</v>
      </c>
      <c r="F52" s="181">
        <v>4</v>
      </c>
      <c r="H52" s="181">
        <v>3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15" customHeight="1" hidden="1">
      <c r="A53" s="16"/>
      <c r="B53" s="16"/>
      <c r="C53" s="196">
        <v>0.3</v>
      </c>
      <c r="D53" s="296">
        <f>IF(Zadání!$C$27=1,(($E$12-$D26)*10%+2500),(($E$12-$D26)*13%+4000))</f>
        <v>10900</v>
      </c>
      <c r="E53" s="182">
        <f>IF(Zadání!$C$27=1,(($E$12-$D26)*8%+2500),(($E$12-$D26)*11%+4000))</f>
        <v>9220</v>
      </c>
      <c r="F53" s="182">
        <f>IF(Zadání!$C$27=1,(($E$12-$D26)*6%+2500),(($E$12-$D26)*8%+4000))</f>
        <v>7540</v>
      </c>
      <c r="H53" s="182">
        <f>IF(Zadání!$C$27=1,(($E$12-$D26)*5%+2500),(($E$12-$D26)*6%+4000))</f>
        <v>6700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15" customHeight="1" hidden="1">
      <c r="A54" s="16"/>
      <c r="B54" s="16"/>
      <c r="C54" s="199">
        <v>0.4</v>
      </c>
      <c r="D54" s="296">
        <f>IF(Zadání!$C$27=1,(($E$12-$D27)*10%+2500),(($E$12-$D27)*13%+4000))</f>
        <v>9700</v>
      </c>
      <c r="E54" s="182">
        <f>IF(Zadání!$C$27=1,(($E$12-$D27)*8%+2500),(($E$12-$D27)*11%+4000))</f>
        <v>8260</v>
      </c>
      <c r="F54" s="182">
        <f>IF(Zadání!$C$27=1,(($E$12-$D27)*6%+2500),(($E$12-$D27)*8%+4000))</f>
        <v>6820</v>
      </c>
      <c r="H54" s="182">
        <f>IF(Zadání!$C$27=1,(($E$12-$D27)*5%+2500),(($E$12-$D27)*6%+4000))</f>
        <v>6100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15" customHeight="1" hidden="1">
      <c r="A55" s="16"/>
      <c r="B55" s="16"/>
      <c r="C55" s="199">
        <v>0.5</v>
      </c>
      <c r="D55" s="296">
        <f>IF(Zadání!$C$27=1,(($E$12-$D28)*10%+2500),(($E$12-$D28)*13%+4000))</f>
        <v>8500</v>
      </c>
      <c r="E55" s="182">
        <f>IF(Zadání!$C$27=1,(($E$12-$D28)*8%+2500),(($E$12-$D28)*11%+4000))</f>
        <v>7300</v>
      </c>
      <c r="F55" s="182">
        <f>IF(Zadání!$C$27=1,(($E$12-$D28)*6%+2500),(($E$12-$D28)*8%+4000))</f>
        <v>6100</v>
      </c>
      <c r="H55" s="182">
        <f>IF(Zadání!$C$27=1,(($E$12-$D28)*5%+2500),(($E$12-$D28)*6%+4000))</f>
        <v>5500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15" customHeight="1" hidden="1">
      <c r="A56" s="16"/>
      <c r="B56" s="16"/>
      <c r="C56" s="201">
        <v>0.6</v>
      </c>
      <c r="D56" s="296">
        <f>IF(Zadání!$C$27=1,(($E$12-$D29)*10%+2500),(($E$12-$D29)*13%+4000))</f>
        <v>7300</v>
      </c>
      <c r="E56" s="182">
        <f>IF(Zadání!$C$27=1,(($E$12-$D29)*8%+2500),(($E$12-$D29)*11%+4000))</f>
        <v>6340</v>
      </c>
      <c r="F56" s="182">
        <f>IF(Zadání!$C$27=1,(($E$12-$D29)*6%+2500),(($E$12-$D29)*8%+4000))</f>
        <v>5380</v>
      </c>
      <c r="H56" s="182">
        <f>IF(Zadání!$C$27=1,(($E$12-$D29)*5%+2500),(($E$12-$D29)*6%+4000))</f>
        <v>4900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15" customHeight="1" hidden="1">
      <c r="A57" s="16"/>
      <c r="B57" s="16"/>
      <c r="C57" s="14"/>
      <c r="D57" s="188"/>
      <c r="E57" s="188"/>
      <c r="F57" s="188"/>
      <c r="G57" s="1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15" customHeight="1" hidden="1">
      <c r="A58" s="16"/>
      <c r="B58" s="16"/>
      <c r="C58" s="14"/>
      <c r="D58" s="188"/>
      <c r="E58" s="188"/>
      <c r="F58" s="188"/>
      <c r="G58" s="1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8" customFormat="1" ht="15" customHeight="1" hidden="1">
      <c r="A59" s="19"/>
      <c r="B59" s="19"/>
      <c r="C59" s="192">
        <f>Zadání!C7+1</f>
        <v>1.2</v>
      </c>
      <c r="D59" s="190"/>
      <c r="E59" s="190"/>
      <c r="F59" s="190"/>
      <c r="G59" s="18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17" customFormat="1" ht="15" customHeight="1" hidden="1">
      <c r="A60" s="16"/>
      <c r="B60" s="16"/>
      <c r="C60" s="14"/>
      <c r="D60" s="14"/>
      <c r="E60" s="14"/>
      <c r="F60" s="14"/>
      <c r="G60" s="14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6" customFormat="1" ht="15" customHeight="1" hidden="1">
      <c r="A61" s="5"/>
      <c r="B61" s="5"/>
      <c r="C61" s="10"/>
      <c r="D61" s="10"/>
      <c r="E61" s="10"/>
      <c r="F61" s="10"/>
      <c r="G61" s="1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17" customFormat="1" ht="15" customHeight="1" hidden="1">
      <c r="A62" s="16"/>
      <c r="B62" s="16"/>
      <c r="C62" s="189"/>
      <c r="D62" s="14"/>
      <c r="E62" s="186"/>
      <c r="F62" s="63"/>
      <c r="G62" s="14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15" customHeight="1" hidden="1">
      <c r="A63" s="16"/>
      <c r="B63" s="16"/>
      <c r="C63" s="14"/>
      <c r="D63" s="187"/>
      <c r="E63" s="187"/>
      <c r="F63" s="187"/>
      <c r="G63" s="14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15" customHeight="1">
      <c r="A64" s="16"/>
      <c r="B64" s="16"/>
      <c r="C64" s="16"/>
      <c r="D64" s="66"/>
      <c r="E64" s="66"/>
      <c r="F64" s="6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15" customHeight="1">
      <c r="A65" s="16"/>
      <c r="B65" s="16"/>
      <c r="C65" s="16"/>
      <c r="D65" s="67"/>
      <c r="E65" s="67"/>
      <c r="F65" s="6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15" customHeight="1">
      <c r="A66" s="16"/>
      <c r="B66" s="16"/>
      <c r="C66" s="16"/>
      <c r="D66" s="67"/>
      <c r="E66" s="67"/>
      <c r="F66" s="6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15" customHeight="1">
      <c r="A67" s="16"/>
      <c r="B67" s="16"/>
      <c r="C67" s="16"/>
      <c r="D67" s="67"/>
      <c r="E67" s="67"/>
      <c r="F67" s="6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15" customHeight="1">
      <c r="A68" s="16"/>
      <c r="B68" s="16"/>
      <c r="C68" s="16"/>
      <c r="D68" s="67"/>
      <c r="E68" s="67"/>
      <c r="F68" s="6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15" customHeight="1">
      <c r="A69" s="16"/>
      <c r="B69" s="16"/>
      <c r="C69" s="16"/>
      <c r="D69" s="67"/>
      <c r="E69" s="67"/>
      <c r="F69" s="6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15" customHeight="1">
      <c r="A70" s="16"/>
      <c r="B70" s="16"/>
      <c r="C70" s="16"/>
      <c r="D70" s="67"/>
      <c r="E70" s="67"/>
      <c r="F70" s="6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8" customFormat="1" ht="15" customHeight="1">
      <c r="A71" s="19"/>
      <c r="B71" s="19"/>
      <c r="C71" s="19"/>
      <c r="D71" s="68"/>
      <c r="E71" s="68"/>
      <c r="F71" s="6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s="6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6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17" customFormat="1" ht="15" customHeight="1">
      <c r="A74" s="16"/>
      <c r="B74" s="16"/>
      <c r="C74" s="19"/>
      <c r="D74" s="16"/>
      <c r="E74" s="69"/>
      <c r="F74" s="6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15" customHeight="1">
      <c r="A75" s="16"/>
      <c r="B75" s="16"/>
      <c r="C75" s="16"/>
      <c r="D75" s="65"/>
      <c r="E75" s="65"/>
      <c r="F75" s="6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15" customHeight="1">
      <c r="A76" s="16"/>
      <c r="B76" s="16"/>
      <c r="C76" s="16"/>
      <c r="D76" s="66"/>
      <c r="E76" s="66"/>
      <c r="F76" s="6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15" customHeight="1">
      <c r="A77" s="16"/>
      <c r="B77" s="16"/>
      <c r="C77" s="16"/>
      <c r="D77" s="67"/>
      <c r="E77" s="67"/>
      <c r="F77" s="6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15" customHeight="1">
      <c r="A78" s="16"/>
      <c r="B78" s="16"/>
      <c r="C78" s="16"/>
      <c r="D78" s="67"/>
      <c r="E78" s="67"/>
      <c r="F78" s="6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15" customHeight="1">
      <c r="A79" s="16"/>
      <c r="B79" s="16"/>
      <c r="C79" s="16"/>
      <c r="D79" s="67"/>
      <c r="E79" s="67"/>
      <c r="F79" s="6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15" customHeight="1">
      <c r="A80" s="16"/>
      <c r="B80" s="16"/>
      <c r="C80" s="16"/>
      <c r="D80" s="67"/>
      <c r="E80" s="67"/>
      <c r="F80" s="6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15" customHeight="1">
      <c r="A81" s="16"/>
      <c r="B81" s="16"/>
      <c r="C81" s="16"/>
      <c r="D81" s="67"/>
      <c r="E81" s="67"/>
      <c r="F81" s="6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15" customHeight="1">
      <c r="A82" s="16"/>
      <c r="B82" s="16"/>
      <c r="C82" s="16"/>
      <c r="D82" s="67"/>
      <c r="E82" s="67"/>
      <c r="F82" s="6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8" customFormat="1" ht="15" customHeight="1">
      <c r="A83" s="19"/>
      <c r="B83" s="19"/>
      <c r="C83" s="19"/>
      <c r="D83" s="68"/>
      <c r="E83" s="68"/>
      <c r="F83" s="6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6" customFormat="1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6" customFormat="1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6" customFormat="1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="5" customFormat="1" ht="15" customHeight="1"/>
    <row r="88" s="5" customFormat="1" ht="15" customHeight="1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pans="4:5" s="2" customFormat="1" ht="12.75">
      <c r="D165" s="62" t="s">
        <v>29</v>
      </c>
      <c r="E165" s="64">
        <v>1</v>
      </c>
    </row>
    <row r="166" s="2" customFormat="1" ht="12.75">
      <c r="D166" s="57" t="s">
        <v>22</v>
      </c>
    </row>
    <row r="167" s="2" customFormat="1" ht="12.75">
      <c r="D167" s="57" t="s">
        <v>23</v>
      </c>
    </row>
    <row r="168" s="2" customFormat="1" ht="12.75">
      <c r="D168" s="58"/>
    </row>
    <row r="169" s="2" customFormat="1" ht="12.75"/>
    <row r="170" spans="4:5" s="2" customFormat="1" ht="12.75">
      <c r="D170" s="62" t="s">
        <v>25</v>
      </c>
      <c r="E170" s="64">
        <v>1</v>
      </c>
    </row>
    <row r="171" s="2" customFormat="1" ht="12.75">
      <c r="D171" s="57" t="s">
        <v>26</v>
      </c>
    </row>
    <row r="172" s="2" customFormat="1" ht="12.75">
      <c r="D172" s="57" t="s">
        <v>27</v>
      </c>
    </row>
    <row r="173" s="2" customFormat="1" ht="12.75">
      <c r="D173" s="58" t="s">
        <v>28</v>
      </c>
    </row>
    <row r="174" s="2" customFormat="1" ht="12.75"/>
    <row r="175" spans="3:6" s="2" customFormat="1" ht="12.75">
      <c r="C175" s="102" t="s">
        <v>50</v>
      </c>
      <c r="D175" s="103">
        <f>MONTH(D26)</f>
        <v>7</v>
      </c>
      <c r="E175" s="103">
        <f>YEAR(D26)</f>
        <v>1998</v>
      </c>
      <c r="F175" s="104">
        <f>IF(DAY(D26)&lt;16,5,20)</f>
        <v>20</v>
      </c>
    </row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</sheetData>
  <sheetProtection password="DBB2" sheet="1" objects="1" scenarios="1"/>
  <mergeCells count="14">
    <mergeCell ref="B9:G9"/>
    <mergeCell ref="C24:D24"/>
    <mergeCell ref="E24:E25"/>
    <mergeCell ref="F24:F25"/>
    <mergeCell ref="C16:D16"/>
    <mergeCell ref="E16:E17"/>
    <mergeCell ref="F16:F17"/>
    <mergeCell ref="F40:F41"/>
    <mergeCell ref="F49:G49"/>
    <mergeCell ref="C32:D32"/>
    <mergeCell ref="E32:E33"/>
    <mergeCell ref="C40:D40"/>
    <mergeCell ref="F32:F33"/>
    <mergeCell ref="E40:E4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72"/>
  <sheetViews>
    <sheetView workbookViewId="0" topLeftCell="A40">
      <selection activeCell="K5" sqref="K5:AK5"/>
    </sheetView>
  </sheetViews>
  <sheetFormatPr defaultColWidth="9.00390625" defaultRowHeight="12.75"/>
  <cols>
    <col min="1" max="1" width="1.00390625" style="0" customWidth="1"/>
    <col min="2" max="3" width="2.75390625" style="0" customWidth="1"/>
    <col min="4" max="4" width="1.37890625" style="0" customWidth="1"/>
    <col min="5" max="28" width="2.75390625" style="0" customWidth="1"/>
    <col min="29" max="29" width="2.875" style="0" customWidth="1"/>
    <col min="30" max="30" width="2.75390625" style="0" customWidth="1"/>
    <col min="31" max="31" width="3.125" style="0" customWidth="1"/>
    <col min="32" max="32" width="2.75390625" style="0" customWidth="1"/>
    <col min="33" max="33" width="3.125" style="0" customWidth="1"/>
    <col min="34" max="34" width="3.25390625" style="0" customWidth="1"/>
    <col min="35" max="35" width="2.75390625" style="0" customWidth="1"/>
    <col min="36" max="36" width="2.875" style="0" customWidth="1"/>
    <col min="37" max="37" width="2.75390625" style="0" customWidth="1"/>
    <col min="38" max="38" width="2.125" style="0" customWidth="1"/>
    <col min="39" max="39" width="0.875" style="2" customWidth="1"/>
    <col min="40" max="116" width="2.75390625" style="2" customWidth="1"/>
    <col min="117" max="149" width="2.75390625" style="0" customWidth="1"/>
  </cols>
  <sheetData>
    <row r="1" spans="1:39" ht="27.75" customHeight="1">
      <c r="A1" s="55" t="s">
        <v>8</v>
      </c>
      <c r="B1" s="55"/>
      <c r="C1" s="55"/>
      <c r="D1" s="149" t="s">
        <v>84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AG1" s="1"/>
      <c r="AH1" s="1"/>
      <c r="AI1" s="1"/>
      <c r="AJ1" s="1"/>
      <c r="AK1" s="1"/>
      <c r="AL1" s="1"/>
      <c r="AM1" s="1"/>
    </row>
    <row r="2" spans="1:39" ht="18.75" customHeight="1">
      <c r="A2" s="55"/>
      <c r="B2" s="55"/>
      <c r="C2" s="55"/>
      <c r="D2" s="149"/>
      <c r="E2" s="1"/>
      <c r="F2" s="56" t="s">
        <v>85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"/>
      <c r="X2" s="1"/>
      <c r="Y2" s="1"/>
      <c r="Z2" s="1"/>
      <c r="AA2" s="1"/>
      <c r="AB2" s="1"/>
      <c r="AC2" s="1"/>
      <c r="AD2" s="1"/>
      <c r="AE2" s="1"/>
      <c r="AF2" s="358"/>
      <c r="AG2" s="358"/>
      <c r="AH2" s="358"/>
      <c r="AI2" s="358"/>
      <c r="AJ2" s="358"/>
      <c r="AK2" s="358"/>
      <c r="AL2" s="358"/>
      <c r="AM2" s="1"/>
    </row>
    <row r="3" spans="1:116" s="45" customFormat="1" ht="15" customHeight="1" thickBot="1">
      <c r="A3" s="360"/>
      <c r="B3" s="360"/>
      <c r="C3" s="360"/>
      <c r="D3" s="360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359"/>
      <c r="AG3" s="359"/>
      <c r="AH3" s="359"/>
      <c r="AI3" s="359"/>
      <c r="AJ3" s="359"/>
      <c r="AK3" s="359"/>
      <c r="AL3" s="359"/>
      <c r="AM3" s="54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</row>
    <row r="4" spans="1:116" s="45" customFormat="1" ht="6" customHeight="1">
      <c r="A4" s="54"/>
      <c r="B4" s="362" t="s">
        <v>86</v>
      </c>
      <c r="C4" s="36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54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</row>
    <row r="5" spans="1:116" s="45" customFormat="1" ht="15.75" customHeight="1">
      <c r="A5" s="54"/>
      <c r="B5" s="364"/>
      <c r="C5" s="365"/>
      <c r="D5" s="48"/>
      <c r="E5" s="49" t="s">
        <v>87</v>
      </c>
      <c r="F5" s="48"/>
      <c r="G5" s="48"/>
      <c r="H5" s="48"/>
      <c r="I5" s="48"/>
      <c r="J5" s="48"/>
      <c r="K5" s="370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2"/>
      <c r="AL5" s="50"/>
      <c r="AM5" s="54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</row>
    <row r="6" spans="1:116" s="45" customFormat="1" ht="6" customHeight="1">
      <c r="A6" s="54"/>
      <c r="B6" s="364"/>
      <c r="C6" s="36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0"/>
      <c r="AM6" s="54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</row>
    <row r="7" spans="1:116" s="45" customFormat="1" ht="15.75" customHeight="1">
      <c r="A7" s="54"/>
      <c r="B7" s="364"/>
      <c r="C7" s="365"/>
      <c r="D7" s="48"/>
      <c r="E7" s="48" t="s">
        <v>9</v>
      </c>
      <c r="F7" s="48"/>
      <c r="G7" s="48"/>
      <c r="H7" s="373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5"/>
      <c r="AL7" s="50"/>
      <c r="AM7" s="54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</row>
    <row r="8" spans="1:116" s="45" customFormat="1" ht="6" customHeight="1">
      <c r="A8" s="54"/>
      <c r="B8" s="364"/>
      <c r="C8" s="365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0"/>
      <c r="AM8" s="54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</row>
    <row r="9" spans="1:116" s="45" customFormat="1" ht="15.75" customHeight="1">
      <c r="A9" s="54"/>
      <c r="B9" s="364"/>
      <c r="C9" s="365"/>
      <c r="D9" s="48"/>
      <c r="E9" s="53" t="s">
        <v>10</v>
      </c>
      <c r="F9" s="48"/>
      <c r="G9" s="48"/>
      <c r="H9" s="376"/>
      <c r="I9" s="377"/>
      <c r="J9" s="377"/>
      <c r="K9" s="377"/>
      <c r="L9" s="377"/>
      <c r="M9" s="377"/>
      <c r="N9" s="377"/>
      <c r="O9" s="378"/>
      <c r="P9" s="150"/>
      <c r="Q9" s="151"/>
      <c r="R9" s="48" t="s">
        <v>5</v>
      </c>
      <c r="T9" s="373"/>
      <c r="U9" s="374"/>
      <c r="V9" s="374"/>
      <c r="W9" s="374"/>
      <c r="X9" s="374"/>
      <c r="Y9" s="374"/>
      <c r="Z9" s="374"/>
      <c r="AA9" s="374"/>
      <c r="AB9" s="375"/>
      <c r="AC9" s="151"/>
      <c r="AD9" s="151"/>
      <c r="AE9" s="151" t="s">
        <v>88</v>
      </c>
      <c r="AF9" s="152"/>
      <c r="AI9" s="379"/>
      <c r="AJ9" s="380"/>
      <c r="AK9" s="381"/>
      <c r="AL9" s="50"/>
      <c r="AM9" s="54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</row>
    <row r="10" spans="1:116" s="45" customFormat="1" ht="6" customHeight="1">
      <c r="A10" s="54"/>
      <c r="B10" s="364"/>
      <c r="C10" s="36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50"/>
      <c r="AM10" s="54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</row>
    <row r="11" spans="1:116" s="45" customFormat="1" ht="15.75" customHeight="1">
      <c r="A11" s="54"/>
      <c r="B11" s="364"/>
      <c r="C11" s="365"/>
      <c r="D11" s="48"/>
      <c r="E11" s="48" t="s">
        <v>11</v>
      </c>
      <c r="F11" s="48"/>
      <c r="G11" s="48"/>
      <c r="H11" s="373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48"/>
      <c r="V11" s="48"/>
      <c r="W11" s="48" t="s">
        <v>12</v>
      </c>
      <c r="X11" s="48"/>
      <c r="Y11" s="373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5"/>
      <c r="AL11" s="50"/>
      <c r="AM11" s="54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</row>
    <row r="12" spans="1:116" s="45" customFormat="1" ht="6" customHeight="1">
      <c r="A12" s="54"/>
      <c r="B12" s="364"/>
      <c r="C12" s="36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50"/>
      <c r="AM12" s="54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</row>
    <row r="13" spans="1:116" s="45" customFormat="1" ht="15.75" customHeight="1">
      <c r="A13" s="54"/>
      <c r="B13" s="364"/>
      <c r="C13" s="365"/>
      <c r="D13" s="48"/>
      <c r="E13" s="48" t="s">
        <v>89</v>
      </c>
      <c r="F13" s="48"/>
      <c r="G13" s="48"/>
      <c r="H13" s="48"/>
      <c r="I13" s="48"/>
      <c r="J13" s="48"/>
      <c r="K13" s="373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48"/>
      <c r="Z13" s="48" t="s">
        <v>7</v>
      </c>
      <c r="AA13" s="48"/>
      <c r="AB13" s="373"/>
      <c r="AC13" s="374"/>
      <c r="AD13" s="374"/>
      <c r="AE13" s="374"/>
      <c r="AF13" s="374"/>
      <c r="AG13" s="374"/>
      <c r="AH13" s="374"/>
      <c r="AI13" s="374"/>
      <c r="AJ13" s="374"/>
      <c r="AK13" s="375"/>
      <c r="AL13" s="50"/>
      <c r="AM13" s="54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</row>
    <row r="14" spans="1:116" s="45" customFormat="1" ht="6" customHeight="1">
      <c r="A14" s="54"/>
      <c r="B14" s="366"/>
      <c r="C14" s="36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50"/>
      <c r="AM14" s="54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</row>
    <row r="15" spans="1:116" s="45" customFormat="1" ht="15.75" customHeight="1">
      <c r="A15" s="54"/>
      <c r="B15" s="366"/>
      <c r="C15" s="367"/>
      <c r="D15" s="48"/>
      <c r="E15" s="48" t="s">
        <v>13</v>
      </c>
      <c r="F15" s="48"/>
      <c r="G15" s="48"/>
      <c r="H15" s="382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4"/>
      <c r="Y15" s="48"/>
      <c r="Z15" s="48" t="s">
        <v>6</v>
      </c>
      <c r="AA15" s="48"/>
      <c r="AB15" s="382"/>
      <c r="AC15" s="383"/>
      <c r="AD15" s="383"/>
      <c r="AE15" s="383"/>
      <c r="AF15" s="383"/>
      <c r="AG15" s="383"/>
      <c r="AH15" s="383"/>
      <c r="AI15" s="383"/>
      <c r="AJ15" s="383"/>
      <c r="AK15" s="384"/>
      <c r="AL15" s="50"/>
      <c r="AM15" s="54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</row>
    <row r="16" spans="1:116" s="45" customFormat="1" ht="6" customHeight="1">
      <c r="A16" s="54"/>
      <c r="B16" s="366"/>
      <c r="C16" s="36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50"/>
      <c r="AM16" s="54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</row>
    <row r="17" spans="1:116" s="45" customFormat="1" ht="15.75" customHeight="1">
      <c r="A17" s="54"/>
      <c r="B17" s="366"/>
      <c r="C17" s="367"/>
      <c r="D17" s="48"/>
      <c r="E17" s="48" t="s">
        <v>90</v>
      </c>
      <c r="F17" s="48"/>
      <c r="G17" s="48"/>
      <c r="H17" s="153"/>
      <c r="I17" s="152"/>
      <c r="J17" s="152"/>
      <c r="K17" s="385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4"/>
      <c r="Y17" s="48"/>
      <c r="Z17" s="48" t="s">
        <v>91</v>
      </c>
      <c r="AA17" s="48"/>
      <c r="AB17" s="153"/>
      <c r="AC17" s="152"/>
      <c r="AD17" s="386"/>
      <c r="AE17" s="387"/>
      <c r="AF17" s="387"/>
      <c r="AG17" s="387"/>
      <c r="AH17" s="387"/>
      <c r="AI17" s="387"/>
      <c r="AJ17" s="387"/>
      <c r="AK17" s="388"/>
      <c r="AL17" s="50"/>
      <c r="AM17" s="54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</row>
    <row r="18" spans="1:116" s="45" customFormat="1" ht="6" customHeight="1" thickBot="1">
      <c r="A18" s="54"/>
      <c r="B18" s="368"/>
      <c r="C18" s="36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54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</row>
    <row r="19" spans="1:116" s="45" customFormat="1" ht="6.75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</row>
    <row r="20" spans="1:116" s="45" customFormat="1" ht="6" customHeight="1">
      <c r="A20" s="54"/>
      <c r="B20" s="389" t="s">
        <v>21</v>
      </c>
      <c r="C20" s="39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54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</row>
    <row r="21" spans="1:116" s="45" customFormat="1" ht="15.75" customHeight="1">
      <c r="A21" s="54"/>
      <c r="B21" s="391"/>
      <c r="C21" s="392"/>
      <c r="D21" s="48"/>
      <c r="E21" s="53" t="s">
        <v>92</v>
      </c>
      <c r="F21" s="48"/>
      <c r="G21" s="48"/>
      <c r="H21" s="48"/>
      <c r="I21" s="48"/>
      <c r="J21" s="48"/>
      <c r="K21" s="395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7"/>
      <c r="AL21" s="50"/>
      <c r="AM21" s="54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</row>
    <row r="22" spans="1:116" s="45" customFormat="1" ht="6" customHeight="1">
      <c r="A22" s="54"/>
      <c r="B22" s="391"/>
      <c r="C22" s="39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50"/>
      <c r="AM22" s="54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</row>
    <row r="23" spans="1:116" s="45" customFormat="1" ht="15.75" customHeight="1">
      <c r="A23" s="54"/>
      <c r="B23" s="391"/>
      <c r="C23" s="392"/>
      <c r="D23" s="48"/>
      <c r="E23" s="48" t="s">
        <v>14</v>
      </c>
      <c r="F23" s="48"/>
      <c r="G23" s="48"/>
      <c r="H23" s="48"/>
      <c r="I23" s="48"/>
      <c r="J23" s="48"/>
      <c r="K23" s="48"/>
      <c r="L23" s="48"/>
      <c r="M23" s="398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400"/>
      <c r="Y23" s="48"/>
      <c r="Z23" s="48" t="s">
        <v>15</v>
      </c>
      <c r="AA23" s="48"/>
      <c r="AB23" s="70"/>
      <c r="AC23" s="48"/>
      <c r="AD23" s="48"/>
      <c r="AE23" s="48" t="s">
        <v>16</v>
      </c>
      <c r="AF23" s="48"/>
      <c r="AG23" s="48"/>
      <c r="AH23" s="48"/>
      <c r="AI23" s="70"/>
      <c r="AJ23" s="48"/>
      <c r="AK23" s="48"/>
      <c r="AL23" s="50"/>
      <c r="AM23" s="54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</row>
    <row r="24" spans="1:116" s="45" customFormat="1" ht="6" customHeight="1">
      <c r="A24" s="54"/>
      <c r="B24" s="391"/>
      <c r="C24" s="39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0"/>
      <c r="AM24" s="54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</row>
    <row r="25" spans="1:116" s="45" customFormat="1" ht="15.75" customHeight="1">
      <c r="A25" s="54"/>
      <c r="B25" s="391"/>
      <c r="C25" s="392"/>
      <c r="D25" s="48"/>
      <c r="E25" s="53" t="s">
        <v>18</v>
      </c>
      <c r="F25" s="48"/>
      <c r="G25" s="48"/>
      <c r="H25" s="48"/>
      <c r="I25" s="48"/>
      <c r="J25" s="48"/>
      <c r="K25" s="395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7"/>
      <c r="AL25" s="50"/>
      <c r="AM25" s="54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</row>
    <row r="26" spans="1:116" s="45" customFormat="1" ht="6" customHeight="1">
      <c r="A26" s="54"/>
      <c r="B26" s="391"/>
      <c r="C26" s="39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50"/>
      <c r="AM26" s="54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</row>
    <row r="27" spans="1:116" s="45" customFormat="1" ht="15.75" customHeight="1">
      <c r="A27" s="54"/>
      <c r="B27" s="391"/>
      <c r="C27" s="392"/>
      <c r="D27" s="48"/>
      <c r="E27" s="48" t="s">
        <v>93</v>
      </c>
      <c r="F27" s="48"/>
      <c r="G27" s="48"/>
      <c r="H27" s="153"/>
      <c r="I27" s="152"/>
      <c r="J27" s="152"/>
      <c r="K27" s="385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4"/>
      <c r="AL27" s="50"/>
      <c r="AM27" s="54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</row>
    <row r="28" spans="1:116" s="45" customFormat="1" ht="6" customHeight="1">
      <c r="A28" s="54"/>
      <c r="B28" s="391"/>
      <c r="C28" s="39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50"/>
      <c r="AM28" s="54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</row>
    <row r="29" spans="1:116" s="45" customFormat="1" ht="15.75" customHeight="1">
      <c r="A29" s="54"/>
      <c r="B29" s="391"/>
      <c r="C29" s="392"/>
      <c r="D29" s="48"/>
      <c r="E29" s="48" t="s">
        <v>94</v>
      </c>
      <c r="F29" s="48"/>
      <c r="G29" s="48"/>
      <c r="H29" s="48"/>
      <c r="I29" s="48"/>
      <c r="J29" s="48"/>
      <c r="K29" s="373"/>
      <c r="L29" s="401"/>
      <c r="M29" s="401"/>
      <c r="N29" s="401"/>
      <c r="O29" s="401"/>
      <c r="P29" s="401"/>
      <c r="Q29" s="401"/>
      <c r="R29" s="401"/>
      <c r="S29" s="401"/>
      <c r="T29" s="401"/>
      <c r="U29" s="402"/>
      <c r="V29" s="48"/>
      <c r="W29" s="48" t="s">
        <v>11</v>
      </c>
      <c r="X29" s="48"/>
      <c r="Y29" s="48"/>
      <c r="Z29" s="373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2"/>
      <c r="AL29" s="50"/>
      <c r="AM29" s="54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</row>
    <row r="30" spans="1:116" s="45" customFormat="1" ht="6" customHeight="1">
      <c r="A30" s="54"/>
      <c r="B30" s="391"/>
      <c r="C30" s="39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50"/>
      <c r="AM30" s="54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</row>
    <row r="31" spans="1:116" s="45" customFormat="1" ht="15.75" customHeight="1">
      <c r="A31" s="54"/>
      <c r="B31" s="391"/>
      <c r="C31" s="392"/>
      <c r="D31" s="48"/>
      <c r="E31" s="48" t="s">
        <v>19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73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2"/>
      <c r="AB31" s="48"/>
      <c r="AC31" s="48" t="s">
        <v>7</v>
      </c>
      <c r="AD31" s="48"/>
      <c r="AE31" s="373"/>
      <c r="AF31" s="401"/>
      <c r="AG31" s="401"/>
      <c r="AH31" s="401"/>
      <c r="AI31" s="401"/>
      <c r="AJ31" s="401"/>
      <c r="AK31" s="402"/>
      <c r="AL31" s="50"/>
      <c r="AM31" s="54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</row>
    <row r="32" spans="1:116" s="45" customFormat="1" ht="6" customHeight="1">
      <c r="A32" s="54"/>
      <c r="B32" s="391"/>
      <c r="C32" s="39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50"/>
      <c r="AM32" s="54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</row>
    <row r="33" spans="1:116" s="45" customFormat="1" ht="15.75" customHeight="1">
      <c r="A33" s="54"/>
      <c r="B33" s="391"/>
      <c r="C33" s="392"/>
      <c r="D33" s="48"/>
      <c r="E33" s="48" t="s">
        <v>17</v>
      </c>
      <c r="F33" s="48"/>
      <c r="G33" s="48"/>
      <c r="H33" s="48"/>
      <c r="I33" s="48"/>
      <c r="J33" s="48"/>
      <c r="K33" s="403"/>
      <c r="L33" s="404"/>
      <c r="M33" s="404"/>
      <c r="N33" s="404"/>
      <c r="O33" s="404"/>
      <c r="P33" s="404"/>
      <c r="Q33" s="404"/>
      <c r="R33" s="404"/>
      <c r="S33" s="404"/>
      <c r="T33" s="405"/>
      <c r="U33" s="48"/>
      <c r="V33" s="48"/>
      <c r="W33" s="48" t="s">
        <v>95</v>
      </c>
      <c r="X33" s="48"/>
      <c r="Y33" s="48"/>
      <c r="Z33" s="153"/>
      <c r="AA33" s="151"/>
      <c r="AB33" s="373"/>
      <c r="AC33" s="383"/>
      <c r="AD33" s="383"/>
      <c r="AE33" s="383"/>
      <c r="AF33" s="383"/>
      <c r="AG33" s="383"/>
      <c r="AH33" s="383"/>
      <c r="AI33" s="383"/>
      <c r="AJ33" s="383"/>
      <c r="AK33" s="384"/>
      <c r="AL33" s="50"/>
      <c r="AM33" s="54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</row>
    <row r="34" spans="1:116" s="45" customFormat="1" ht="6" customHeight="1" thickBot="1">
      <c r="A34" s="54"/>
      <c r="B34" s="393"/>
      <c r="C34" s="394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/>
      <c r="AM34" s="54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</row>
    <row r="35" spans="1:116" s="45" customFormat="1" ht="6" customHeight="1" thickBo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</row>
    <row r="36" spans="1:116" s="45" customFormat="1" ht="10.5" customHeight="1">
      <c r="A36" s="54"/>
      <c r="B36" s="389" t="s">
        <v>96</v>
      </c>
      <c r="C36" s="39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7"/>
      <c r="AM36" s="54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</row>
    <row r="37" spans="1:116" s="45" customFormat="1" ht="15.75" customHeight="1">
      <c r="A37" s="54"/>
      <c r="B37" s="391"/>
      <c r="C37" s="392"/>
      <c r="D37" s="48"/>
      <c r="E37" s="48" t="s">
        <v>97</v>
      </c>
      <c r="F37" s="48"/>
      <c r="G37" s="48"/>
      <c r="H37" s="48"/>
      <c r="I37" s="48"/>
      <c r="J37" s="48"/>
      <c r="K37" s="48"/>
      <c r="L37" s="48"/>
      <c r="M37" s="48"/>
      <c r="N37" s="406"/>
      <c r="O37" s="407"/>
      <c r="P37" s="408"/>
      <c r="Q37" s="408"/>
      <c r="R37" s="408"/>
      <c r="S37" s="409"/>
      <c r="T37" s="48"/>
      <c r="U37" s="48"/>
      <c r="V37" s="48" t="s">
        <v>98</v>
      </c>
      <c r="W37" s="48"/>
      <c r="X37" s="48"/>
      <c r="Y37" s="48"/>
      <c r="Z37" s="48"/>
      <c r="AA37" s="48"/>
      <c r="AB37" s="48"/>
      <c r="AC37" s="48"/>
      <c r="AD37" s="48"/>
      <c r="AE37" s="48"/>
      <c r="AF37" s="406"/>
      <c r="AG37" s="408"/>
      <c r="AH37" s="408"/>
      <c r="AI37" s="408"/>
      <c r="AJ37" s="408"/>
      <c r="AK37" s="409"/>
      <c r="AL37" s="50"/>
      <c r="AM37" s="54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</row>
    <row r="38" spans="1:116" s="45" customFormat="1" ht="9.75" customHeight="1">
      <c r="A38" s="54"/>
      <c r="B38" s="391"/>
      <c r="C38" s="392"/>
      <c r="D38" s="15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50"/>
      <c r="AM38" s="54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</row>
    <row r="39" spans="1:116" s="45" customFormat="1" ht="15.75" customHeight="1">
      <c r="A39" s="54"/>
      <c r="B39" s="391"/>
      <c r="C39" s="392"/>
      <c r="D39" s="48"/>
      <c r="E39" s="53" t="s">
        <v>99</v>
      </c>
      <c r="F39" s="48"/>
      <c r="G39" s="48"/>
      <c r="H39" s="48"/>
      <c r="I39" s="48"/>
      <c r="J39" s="48"/>
      <c r="K39" s="48"/>
      <c r="L39" s="48"/>
      <c r="M39" s="48"/>
      <c r="N39" s="410"/>
      <c r="O39" s="411"/>
      <c r="P39" s="412"/>
      <c r="Q39" s="412"/>
      <c r="R39" s="412"/>
      <c r="S39" s="413"/>
      <c r="T39" s="48"/>
      <c r="U39" s="48"/>
      <c r="V39" s="53" t="s">
        <v>100</v>
      </c>
      <c r="W39" s="48"/>
      <c r="X39" s="48"/>
      <c r="Y39" s="48" t="s">
        <v>51</v>
      </c>
      <c r="Z39" s="48"/>
      <c r="AA39" s="48"/>
      <c r="AB39" s="155"/>
      <c r="AC39" s="48"/>
      <c r="AD39" s="153" t="s">
        <v>101</v>
      </c>
      <c r="AE39" s="48"/>
      <c r="AF39" s="156"/>
      <c r="AG39" s="111"/>
      <c r="AH39" s="45" t="s">
        <v>136</v>
      </c>
      <c r="AI39" s="111"/>
      <c r="AJ39" s="111"/>
      <c r="AK39" s="156"/>
      <c r="AL39" s="50"/>
      <c r="AM39" s="5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</row>
    <row r="40" spans="1:116" s="45" customFormat="1" ht="7.5" customHeight="1">
      <c r="A40" s="54"/>
      <c r="B40" s="391"/>
      <c r="C40" s="39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50"/>
      <c r="AM40" s="54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</row>
    <row r="41" spans="1:116" s="45" customFormat="1" ht="17.25" customHeight="1">
      <c r="A41" s="54"/>
      <c r="B41" s="391"/>
      <c r="C41" s="392"/>
      <c r="D41" s="48"/>
      <c r="E41" s="48" t="s">
        <v>20</v>
      </c>
      <c r="F41" s="48"/>
      <c r="G41" s="48"/>
      <c r="H41" s="48"/>
      <c r="I41" s="48" t="s">
        <v>102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70"/>
      <c r="U41" s="48"/>
      <c r="V41" s="54"/>
      <c r="W41" s="54"/>
      <c r="X41" s="48" t="s">
        <v>103</v>
      </c>
      <c r="Y41" s="48"/>
      <c r="Z41" s="48"/>
      <c r="AA41" s="48"/>
      <c r="AB41" s="48"/>
      <c r="AC41" s="48"/>
      <c r="AD41" s="48"/>
      <c r="AE41" s="48"/>
      <c r="AF41" s="48"/>
      <c r="AG41" s="70"/>
      <c r="AH41" s="48"/>
      <c r="AJ41" s="48"/>
      <c r="AK41" s="48"/>
      <c r="AL41" s="50"/>
      <c r="AM41" s="54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</row>
    <row r="42" spans="1:116" s="45" customFormat="1" ht="6" customHeight="1" thickBot="1">
      <c r="A42" s="54"/>
      <c r="B42" s="393"/>
      <c r="C42" s="39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54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</row>
    <row r="43" spans="1:116" s="45" customFormat="1" ht="4.5" customHeight="1" thickBo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</row>
    <row r="44" spans="1:116" s="45" customFormat="1" ht="9" customHeight="1">
      <c r="A44" s="54"/>
      <c r="B44" s="389" t="s">
        <v>104</v>
      </c>
      <c r="C44" s="39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  <c r="AM44" s="54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</row>
    <row r="45" spans="1:116" s="45" customFormat="1" ht="15.75" customHeight="1">
      <c r="A45" s="54"/>
      <c r="B45" s="391"/>
      <c r="C45" s="392"/>
      <c r="D45" s="48"/>
      <c r="E45" s="48" t="s">
        <v>105</v>
      </c>
      <c r="F45" s="48"/>
      <c r="G45" s="48"/>
      <c r="H45" s="48"/>
      <c r="I45" s="48"/>
      <c r="J45" s="48"/>
      <c r="K45" s="48"/>
      <c r="L45" s="48"/>
      <c r="M45" s="48"/>
      <c r="N45" s="406"/>
      <c r="O45" s="417"/>
      <c r="P45" s="417"/>
      <c r="Q45" s="417"/>
      <c r="R45" s="417"/>
      <c r="S45" s="418"/>
      <c r="T45" s="48"/>
      <c r="U45" s="48"/>
      <c r="V45" s="48" t="s">
        <v>106</v>
      </c>
      <c r="W45" s="48"/>
      <c r="X45" s="48"/>
      <c r="Y45" s="48"/>
      <c r="Z45" s="48"/>
      <c r="AA45" s="48"/>
      <c r="AB45" s="48"/>
      <c r="AC45" s="48"/>
      <c r="AD45" s="48"/>
      <c r="AE45" s="48"/>
      <c r="AF45" s="157"/>
      <c r="AG45" s="419"/>
      <c r="AH45" s="420"/>
      <c r="AI45" s="420"/>
      <c r="AJ45" s="420"/>
      <c r="AK45" s="421"/>
      <c r="AL45" s="50"/>
      <c r="AM45" s="54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</row>
    <row r="46" spans="1:116" s="45" customFormat="1" ht="6" customHeight="1">
      <c r="A46" s="54"/>
      <c r="B46" s="391"/>
      <c r="C46" s="392"/>
      <c r="D46" s="15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50"/>
      <c r="AM46" s="54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</row>
    <row r="47" spans="1:116" s="45" customFormat="1" ht="15.75" customHeight="1">
      <c r="A47" s="54"/>
      <c r="B47" s="391"/>
      <c r="C47" s="392"/>
      <c r="D47" s="48"/>
      <c r="E47" s="48" t="s">
        <v>107</v>
      </c>
      <c r="F47" s="48"/>
      <c r="G47" s="48"/>
      <c r="H47" s="48"/>
      <c r="I47" s="48"/>
      <c r="J47" s="48"/>
      <c r="K47" s="48"/>
      <c r="L47" s="48"/>
      <c r="M47" s="48"/>
      <c r="N47" s="373"/>
      <c r="O47" s="404"/>
      <c r="P47" s="401"/>
      <c r="Q47" s="401"/>
      <c r="R47" s="401"/>
      <c r="S47" s="401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5"/>
      <c r="AL47" s="50"/>
      <c r="AM47" s="54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</row>
    <row r="48" spans="1:116" s="45" customFormat="1" ht="6" customHeight="1">
      <c r="A48" s="54"/>
      <c r="B48" s="391"/>
      <c r="C48" s="39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50"/>
      <c r="AM48" s="54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</row>
    <row r="49" spans="1:116" s="45" customFormat="1" ht="15.75" customHeight="1">
      <c r="A49" s="54"/>
      <c r="B49" s="391"/>
      <c r="C49" s="392"/>
      <c r="D49" s="48"/>
      <c r="E49" s="48" t="s">
        <v>108</v>
      </c>
      <c r="F49" s="48"/>
      <c r="G49" s="48"/>
      <c r="H49" s="48"/>
      <c r="I49" s="48"/>
      <c r="J49" s="48"/>
      <c r="K49" s="48"/>
      <c r="L49" s="48"/>
      <c r="M49" s="48"/>
      <c r="N49" s="419"/>
      <c r="O49" s="422"/>
      <c r="P49" s="422"/>
      <c r="Q49" s="423"/>
      <c r="R49" s="158" t="s">
        <v>109</v>
      </c>
      <c r="S49" s="48"/>
      <c r="T49" s="157"/>
      <c r="U49" s="48"/>
      <c r="W49" s="424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1"/>
      <c r="AL49" s="50"/>
      <c r="AM49" s="54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</row>
    <row r="50" spans="1:116" s="44" customFormat="1" ht="6" customHeight="1" thickBot="1">
      <c r="A50" s="59"/>
      <c r="B50" s="393"/>
      <c r="C50" s="394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/>
      <c r="AM50" s="54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6" s="44" customFormat="1" ht="6" customHeight="1" thickBot="1">
      <c r="A51" s="59"/>
      <c r="B51" s="59"/>
      <c r="C51" s="59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</row>
    <row r="52" spans="1:116" s="45" customFormat="1" ht="6" customHeight="1">
      <c r="A52" s="54"/>
      <c r="B52" s="389" t="s">
        <v>110</v>
      </c>
      <c r="C52" s="39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54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</row>
    <row r="53" spans="1:116" s="45" customFormat="1" ht="15.75" customHeight="1">
      <c r="A53" s="54"/>
      <c r="B53" s="391"/>
      <c r="C53" s="392"/>
      <c r="D53" s="48"/>
      <c r="E53" s="48" t="s">
        <v>111</v>
      </c>
      <c r="F53" s="48"/>
      <c r="G53" s="48"/>
      <c r="H53" s="48"/>
      <c r="I53" s="48"/>
      <c r="J53" s="48"/>
      <c r="K53" s="153"/>
      <c r="L53" s="151"/>
      <c r="M53" s="151"/>
      <c r="N53" s="37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4"/>
      <c r="AL53" s="50"/>
      <c r="AM53" s="54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</row>
    <row r="54" spans="1:116" s="45" customFormat="1" ht="6" customHeight="1">
      <c r="A54" s="54"/>
      <c r="B54" s="391"/>
      <c r="C54" s="39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50"/>
      <c r="AM54" s="54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</row>
    <row r="55" spans="1:116" s="45" customFormat="1" ht="15.75" customHeight="1">
      <c r="A55" s="54"/>
      <c r="B55" s="391"/>
      <c r="C55" s="392"/>
      <c r="D55" s="48"/>
      <c r="E55" s="48" t="s">
        <v>112</v>
      </c>
      <c r="F55" s="48"/>
      <c r="G55" s="48"/>
      <c r="H55" s="48"/>
      <c r="I55" s="48"/>
      <c r="J55" s="48"/>
      <c r="K55" s="153"/>
      <c r="L55" s="151"/>
      <c r="M55" s="151"/>
      <c r="N55" s="37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4"/>
      <c r="AL55" s="50"/>
      <c r="AM55" s="54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</row>
    <row r="56" spans="1:116" s="45" customFormat="1" ht="6" customHeight="1">
      <c r="A56" s="54"/>
      <c r="B56" s="391"/>
      <c r="C56" s="39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50"/>
      <c r="AM56" s="54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</row>
    <row r="57" spans="1:116" s="45" customFormat="1" ht="15.75" customHeight="1">
      <c r="A57" s="54"/>
      <c r="B57" s="391"/>
      <c r="C57" s="392"/>
      <c r="D57" s="48"/>
      <c r="E57" s="48" t="s">
        <v>113</v>
      </c>
      <c r="F57" s="48"/>
      <c r="G57" s="48"/>
      <c r="H57" s="48"/>
      <c r="I57" s="48"/>
      <c r="J57" s="48"/>
      <c r="K57" s="48"/>
      <c r="L57" s="48"/>
      <c r="M57" s="48"/>
      <c r="N57" s="406"/>
      <c r="O57" s="431"/>
      <c r="P57" s="432"/>
      <c r="Q57" s="159"/>
      <c r="R57" s="48" t="s">
        <v>114</v>
      </c>
      <c r="T57" s="48"/>
      <c r="U57" s="48"/>
      <c r="W57" s="48"/>
      <c r="X57" s="48"/>
      <c r="Y57" s="424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1"/>
      <c r="AL57" s="50"/>
      <c r="AM57" s="54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</row>
    <row r="58" spans="1:116" s="45" customFormat="1" ht="6" customHeight="1">
      <c r="A58" s="54"/>
      <c r="B58" s="391"/>
      <c r="C58" s="39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0"/>
      <c r="AM58" s="54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</row>
    <row r="59" spans="1:116" s="45" customFormat="1" ht="15.75" customHeight="1">
      <c r="A59" s="54"/>
      <c r="B59" s="391"/>
      <c r="C59" s="392"/>
      <c r="D59" s="48"/>
      <c r="E59" s="48" t="s">
        <v>115</v>
      </c>
      <c r="F59" s="48"/>
      <c r="G59" s="48"/>
      <c r="H59" s="48"/>
      <c r="I59" s="48"/>
      <c r="J59" s="48"/>
      <c r="K59" s="153"/>
      <c r="L59" s="151"/>
      <c r="M59" s="151"/>
      <c r="N59" s="37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4"/>
      <c r="AL59" s="50"/>
      <c r="AM59" s="54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</row>
    <row r="60" spans="1:116" s="45" customFormat="1" ht="6" customHeight="1">
      <c r="A60" s="54"/>
      <c r="B60" s="391"/>
      <c r="C60" s="39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50"/>
      <c r="AM60" s="54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</row>
    <row r="61" spans="1:116" s="45" customFormat="1" ht="15.75" customHeight="1">
      <c r="A61" s="54"/>
      <c r="B61" s="391"/>
      <c r="C61" s="392"/>
      <c r="D61" s="48"/>
      <c r="E61" s="48" t="s">
        <v>116</v>
      </c>
      <c r="F61" s="48"/>
      <c r="G61" s="48"/>
      <c r="H61" s="48"/>
      <c r="I61" s="48"/>
      <c r="J61" s="48"/>
      <c r="K61" s="153"/>
      <c r="L61" s="151"/>
      <c r="M61" s="151"/>
      <c r="N61" s="37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4"/>
      <c r="AL61" s="50"/>
      <c r="AM61" s="54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</row>
    <row r="62" spans="1:116" s="45" customFormat="1" ht="6" customHeight="1">
      <c r="A62" s="54"/>
      <c r="B62" s="391"/>
      <c r="C62" s="39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50"/>
      <c r="AM62" s="54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</row>
    <row r="63" spans="1:116" s="45" customFormat="1" ht="15.75" customHeight="1">
      <c r="A63" s="54"/>
      <c r="B63" s="391"/>
      <c r="C63" s="392"/>
      <c r="D63" s="48"/>
      <c r="E63" s="48" t="s">
        <v>117</v>
      </c>
      <c r="F63" s="48"/>
      <c r="G63" s="48"/>
      <c r="H63" s="48"/>
      <c r="I63" s="48"/>
      <c r="J63" s="48"/>
      <c r="K63" s="153"/>
      <c r="L63" s="151"/>
      <c r="M63" s="151"/>
      <c r="N63" s="37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4"/>
      <c r="AL63" s="50"/>
      <c r="AM63" s="54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</row>
    <row r="64" spans="1:116" s="45" customFormat="1" ht="6" customHeight="1">
      <c r="A64" s="54"/>
      <c r="B64" s="391"/>
      <c r="C64" s="392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50"/>
      <c r="AM64" s="54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</row>
    <row r="65" spans="1:116" s="45" customFormat="1" ht="26.25" customHeight="1">
      <c r="A65" s="54"/>
      <c r="B65" s="391"/>
      <c r="C65" s="392"/>
      <c r="D65" s="48"/>
      <c r="E65" s="48" t="s">
        <v>118</v>
      </c>
      <c r="F65" s="48"/>
      <c r="G65" s="48"/>
      <c r="H65" s="48"/>
      <c r="I65" s="48"/>
      <c r="J65" s="48"/>
      <c r="K65" s="153"/>
      <c r="L65" s="151"/>
      <c r="M65" s="151"/>
      <c r="N65" s="414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6"/>
      <c r="AL65" s="50"/>
      <c r="AM65" s="54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</row>
    <row r="66" spans="1:116" s="45" customFormat="1" ht="6" customHeight="1">
      <c r="A66" s="54"/>
      <c r="B66" s="391"/>
      <c r="C66" s="392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50"/>
      <c r="AM66" s="54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</row>
    <row r="67" spans="1:116" s="45" customFormat="1" ht="18.75" customHeight="1">
      <c r="A67" s="54"/>
      <c r="B67" s="391"/>
      <c r="C67" s="392"/>
      <c r="D67" s="48"/>
      <c r="E67" s="48" t="s">
        <v>119</v>
      </c>
      <c r="F67" s="48"/>
      <c r="G67" s="48"/>
      <c r="H67" s="48"/>
      <c r="I67" s="48"/>
      <c r="J67" s="48"/>
      <c r="K67" s="153"/>
      <c r="L67" s="151"/>
      <c r="M67" s="151"/>
      <c r="N67" s="414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6"/>
      <c r="AL67" s="50"/>
      <c r="AM67" s="54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</row>
    <row r="68" spans="1:116" s="45" customFormat="1" ht="6" customHeight="1" thickBot="1">
      <c r="A68" s="54"/>
      <c r="B68" s="118"/>
      <c r="C68" s="119"/>
      <c r="D68" s="160"/>
      <c r="E68" s="160"/>
      <c r="F68" s="160"/>
      <c r="G68" s="160"/>
      <c r="H68" s="160"/>
      <c r="I68" s="160"/>
      <c r="J68" s="160"/>
      <c r="K68" s="161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3"/>
      <c r="AM68" s="54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</row>
    <row r="69" spans="1:116" s="45" customFormat="1" ht="6.75" customHeight="1" thickBo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</row>
    <row r="70" spans="1:116" s="45" customFormat="1" ht="6" customHeight="1">
      <c r="A70" s="54"/>
      <c r="B70" s="425"/>
      <c r="C70" s="4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7"/>
      <c r="AM70" s="54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</row>
    <row r="71" spans="1:116" s="45" customFormat="1" ht="32.25" customHeight="1">
      <c r="A71" s="54"/>
      <c r="B71" s="427"/>
      <c r="C71" s="428"/>
      <c r="D71" s="48"/>
      <c r="E71" s="48" t="s">
        <v>120</v>
      </c>
      <c r="F71" s="48"/>
      <c r="G71" s="48"/>
      <c r="H71" s="48"/>
      <c r="I71" s="48"/>
      <c r="J71" s="48"/>
      <c r="K71" s="48"/>
      <c r="L71" s="48"/>
      <c r="M71" s="48"/>
      <c r="N71" s="157"/>
      <c r="O71" s="406"/>
      <c r="P71" s="431"/>
      <c r="Q71" s="431"/>
      <c r="R71" s="431"/>
      <c r="S71" s="431"/>
      <c r="T71" s="431"/>
      <c r="U71" s="431"/>
      <c r="V71" s="431"/>
      <c r="W71" s="432"/>
      <c r="X71" s="48"/>
      <c r="Y71" s="53" t="s">
        <v>121</v>
      </c>
      <c r="AC71" s="48"/>
      <c r="AD71" s="424"/>
      <c r="AE71" s="380"/>
      <c r="AF71" s="380"/>
      <c r="AG71" s="380"/>
      <c r="AH71" s="380"/>
      <c r="AI71" s="380"/>
      <c r="AJ71" s="380"/>
      <c r="AK71" s="381"/>
      <c r="AL71" s="50"/>
      <c r="AM71" s="54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</row>
    <row r="72" spans="1:116" s="45" customFormat="1" ht="6" customHeight="1" thickBot="1">
      <c r="A72" s="54"/>
      <c r="B72" s="429"/>
      <c r="C72" s="43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/>
      <c r="AM72" s="54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</row>
    <row r="73" s="61" customFormat="1" ht="21.75" customHeight="1"/>
    <row r="74" s="61" customFormat="1" ht="21.75" customHeight="1"/>
    <row r="75" s="61" customFormat="1" ht="21.75" customHeight="1"/>
    <row r="76" s="61" customFormat="1" ht="21.75" customHeight="1"/>
    <row r="77" s="61" customFormat="1" ht="21.75" customHeight="1"/>
    <row r="78" s="61" customFormat="1" ht="21.75" customHeight="1"/>
    <row r="79" s="61" customFormat="1" ht="21.75" customHeight="1"/>
    <row r="80" s="61" customFormat="1" ht="21.75" customHeight="1"/>
    <row r="81" s="61" customFormat="1" ht="21.75" customHeight="1"/>
    <row r="82" s="61" customFormat="1" ht="21.75" customHeight="1"/>
    <row r="83" s="61" customFormat="1" ht="21.75" customHeight="1"/>
    <row r="84" s="61" customFormat="1" ht="21.75" customHeight="1"/>
    <row r="85" s="61" customFormat="1" ht="21.75" customHeight="1"/>
    <row r="86" s="61" customFormat="1" ht="21.75" customHeight="1"/>
    <row r="87" s="61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</sheetData>
  <sheetProtection password="DBB2" sheet="1" objects="1" scenarios="1"/>
  <mergeCells count="50">
    <mergeCell ref="B70:C72"/>
    <mergeCell ref="O71:W71"/>
    <mergeCell ref="AD71:AK71"/>
    <mergeCell ref="B52:C67"/>
    <mergeCell ref="N53:AK53"/>
    <mergeCell ref="N55:AK55"/>
    <mergeCell ref="N57:P57"/>
    <mergeCell ref="Y57:AK57"/>
    <mergeCell ref="N59:AK59"/>
    <mergeCell ref="N61:AK61"/>
    <mergeCell ref="N63:AK63"/>
    <mergeCell ref="N65:AK65"/>
    <mergeCell ref="N67:AK67"/>
    <mergeCell ref="B44:C50"/>
    <mergeCell ref="N45:S45"/>
    <mergeCell ref="AG45:AK45"/>
    <mergeCell ref="N47:AK47"/>
    <mergeCell ref="N49:Q49"/>
    <mergeCell ref="W49:AK49"/>
    <mergeCell ref="AE31:AK31"/>
    <mergeCell ref="K33:T33"/>
    <mergeCell ref="AB33:AK33"/>
    <mergeCell ref="B36:C42"/>
    <mergeCell ref="N37:S37"/>
    <mergeCell ref="AF37:AK37"/>
    <mergeCell ref="N39:S39"/>
    <mergeCell ref="K17:X17"/>
    <mergeCell ref="AD17:AK17"/>
    <mergeCell ref="B20:C34"/>
    <mergeCell ref="K21:AK21"/>
    <mergeCell ref="M23:X23"/>
    <mergeCell ref="K25:AK25"/>
    <mergeCell ref="K27:AK27"/>
    <mergeCell ref="K29:U29"/>
    <mergeCell ref="Z29:AK29"/>
    <mergeCell ref="P31:AA31"/>
    <mergeCell ref="K13:X13"/>
    <mergeCell ref="AB13:AK13"/>
    <mergeCell ref="H15:X15"/>
    <mergeCell ref="AB15:AK15"/>
    <mergeCell ref="AF2:AL3"/>
    <mergeCell ref="A3:S3"/>
    <mergeCell ref="B4:C18"/>
    <mergeCell ref="K5:AK5"/>
    <mergeCell ref="H7:AK7"/>
    <mergeCell ref="H9:O9"/>
    <mergeCell ref="T9:AB9"/>
    <mergeCell ref="AI9:AK9"/>
    <mergeCell ref="H11:T11"/>
    <mergeCell ref="Y11:AK1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J.Dušek</dc:creator>
  <cp:keywords/>
  <dc:description/>
  <cp:lastModifiedBy>Zdeněk Ehrlich</cp:lastModifiedBy>
  <cp:lastPrinted>2011-03-28T10:06:17Z</cp:lastPrinted>
  <dcterms:created xsi:type="dcterms:W3CDTF">2003-11-27T14:57:57Z</dcterms:created>
  <dcterms:modified xsi:type="dcterms:W3CDTF">2012-10-09T10:58:36Z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